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defaultThemeVersion="124226"/>
  <mc:AlternateContent xmlns:mc="http://schemas.openxmlformats.org/markup-compatibility/2006">
    <mc:Choice Requires="x15">
      <x15ac:absPath xmlns:x15ac="http://schemas.microsoft.com/office/spreadsheetml/2010/11/ac" url="C:\Users\finansai\Desktop\2024M. BIUDŽETAS\Tikslnimas 2023-06-27\"/>
    </mc:Choice>
  </mc:AlternateContent>
  <xr:revisionPtr revIDLastSave="0" documentId="13_ncr:1_{7E964858-B397-4F8F-8B13-6A25E1DB2576}" xr6:coauthVersionLast="47" xr6:coauthVersionMax="47" xr10:uidLastSave="{00000000-0000-0000-0000-000000000000}"/>
  <bookViews>
    <workbookView xWindow="-120" yWindow="-120" windowWidth="29040" windowHeight="15840" activeTab="7" xr2:uid="{00000000-000D-0000-FFFF-FFFF00000000}"/>
  </bookViews>
  <sheets>
    <sheet name="1 priedas" sheetId="22" r:id="rId1"/>
    <sheet name="2 priedas" sheetId="2" r:id="rId2"/>
    <sheet name="5-išl.pagal programas " sheetId="15" state="hidden" r:id="rId3"/>
    <sheet name="3 priedas" sheetId="28" r:id="rId4"/>
    <sheet name="4 priedas" sheetId="14" r:id="rId5"/>
    <sheet name="5 priedas" sheetId="20" r:id="rId6"/>
    <sheet name="6 priedas " sheetId="27" r:id="rId7"/>
    <sheet name="7 priedas" sheetId="24" r:id="rId8"/>
  </sheets>
  <definedNames>
    <definedName name="_xlnm.Print_Titles" localSheetId="0">'1 priedas'!$11:$11</definedName>
    <definedName name="_xlnm.Print_Titles" localSheetId="1">'2 priedas'!$10:$10</definedName>
    <definedName name="_xlnm.Print_Titles" localSheetId="3">'3 priedas'!$13:$15</definedName>
    <definedName name="_xlnm.Print_Titles" localSheetId="4">'4 priedas'!$15:$16</definedName>
    <definedName name="_xlnm.Print_Titles" localSheetId="5">'5 priedas'!$13:$14</definedName>
    <definedName name="_xlnm.Print_Titles" localSheetId="2">'5-išl.pagal programas '!#REF!</definedName>
    <definedName name="_xlnm.Print_Titles" localSheetId="6">'6 priedas '!$12:$13</definedName>
    <definedName name="_xlnm.Print_Titles" localSheetId="7">'7 priedas'!$15:$17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8" i="20" l="1"/>
  <c r="D167" i="20"/>
  <c r="D126" i="20"/>
  <c r="I131" i="14"/>
  <c r="D22" i="28"/>
  <c r="C168" i="20"/>
  <c r="G167" i="20"/>
  <c r="E120" i="27" l="1"/>
  <c r="E26" i="27"/>
  <c r="E23" i="27"/>
  <c r="E106" i="27"/>
  <c r="E105" i="27"/>
  <c r="E104" i="27" s="1"/>
  <c r="E92" i="27" l="1"/>
  <c r="E91" i="27"/>
  <c r="E90" i="27" s="1"/>
  <c r="E88" i="27"/>
  <c r="E87" i="27" s="1"/>
  <c r="J134" i="14"/>
  <c r="I134" i="14"/>
  <c r="G134" i="14"/>
  <c r="G131" i="14"/>
  <c r="F126" i="14"/>
  <c r="E135" i="14"/>
  <c r="F134" i="14"/>
  <c r="F131" i="14"/>
  <c r="H167" i="20"/>
  <c r="G166" i="20"/>
  <c r="E167" i="20"/>
  <c r="E166" i="20"/>
  <c r="D120" i="20"/>
  <c r="D166" i="20"/>
  <c r="F34" i="28" l="1"/>
  <c r="O55" i="24"/>
  <c r="N55" i="24"/>
  <c r="M55" i="24"/>
  <c r="L55" i="24"/>
  <c r="K54" i="24"/>
  <c r="J54" i="24"/>
  <c r="I54" i="24"/>
  <c r="H54" i="24"/>
  <c r="G54" i="24"/>
  <c r="F54" i="24"/>
  <c r="E54" i="24"/>
  <c r="K53" i="24"/>
  <c r="E53" i="24"/>
  <c r="K52" i="24"/>
  <c r="E52" i="24"/>
  <c r="K51" i="24"/>
  <c r="E51" i="24"/>
  <c r="K50" i="24"/>
  <c r="J50" i="24"/>
  <c r="I50" i="24"/>
  <c r="H50" i="24"/>
  <c r="G50" i="24"/>
  <c r="F50" i="24"/>
  <c r="E50" i="24"/>
  <c r="K49" i="24"/>
  <c r="J49" i="24"/>
  <c r="I49" i="24"/>
  <c r="H49" i="24"/>
  <c r="G49" i="24"/>
  <c r="F49" i="24"/>
  <c r="E49" i="24"/>
  <c r="K48" i="24"/>
  <c r="K55" i="24" s="1"/>
  <c r="J48" i="24"/>
  <c r="J55" i="24" s="1"/>
  <c r="I48" i="24"/>
  <c r="I55" i="24" s="1"/>
  <c r="H48" i="24"/>
  <c r="H55" i="24" s="1"/>
  <c r="G48" i="24"/>
  <c r="G55" i="24" s="1"/>
  <c r="F48" i="24"/>
  <c r="F55" i="24" s="1"/>
  <c r="E48" i="24"/>
  <c r="E55" i="24" s="1"/>
  <c r="P45" i="24"/>
  <c r="O45" i="24"/>
  <c r="N45" i="24"/>
  <c r="M45" i="24"/>
  <c r="L45" i="24"/>
  <c r="J45" i="24"/>
  <c r="I45" i="24"/>
  <c r="H45" i="24"/>
  <c r="G45" i="24"/>
  <c r="K44" i="24"/>
  <c r="F44" i="24"/>
  <c r="K43" i="24"/>
  <c r="F43" i="24"/>
  <c r="K42" i="24"/>
  <c r="F42" i="24"/>
  <c r="K41" i="24"/>
  <c r="F41" i="24"/>
  <c r="K40" i="24"/>
  <c r="K39" i="24"/>
  <c r="F39" i="24"/>
  <c r="K38" i="24"/>
  <c r="F38" i="24"/>
  <c r="K37" i="24"/>
  <c r="F37" i="24"/>
  <c r="K36" i="24"/>
  <c r="F36" i="24"/>
  <c r="K35" i="24"/>
  <c r="F35" i="24"/>
  <c r="K34" i="24"/>
  <c r="F34" i="24"/>
  <c r="K33" i="24"/>
  <c r="F33" i="24"/>
  <c r="K32" i="24"/>
  <c r="F32" i="24"/>
  <c r="K31" i="24"/>
  <c r="F31" i="24"/>
  <c r="K30" i="24"/>
  <c r="F30" i="24"/>
  <c r="K29" i="24"/>
  <c r="F29" i="24"/>
  <c r="K28" i="24"/>
  <c r="F28" i="24"/>
  <c r="K27" i="24"/>
  <c r="F27" i="24"/>
  <c r="K26" i="24"/>
  <c r="F26" i="24"/>
  <c r="K25" i="24"/>
  <c r="F25" i="24"/>
  <c r="K24" i="24"/>
  <c r="F24" i="24"/>
  <c r="K23" i="24"/>
  <c r="F23" i="24"/>
  <c r="K22" i="24"/>
  <c r="F22" i="24"/>
  <c r="K21" i="24"/>
  <c r="F21" i="24"/>
  <c r="K20" i="24"/>
  <c r="F20" i="24"/>
  <c r="K19" i="24"/>
  <c r="F19" i="24"/>
  <c r="K18" i="24"/>
  <c r="K45" i="24" s="1"/>
  <c r="F18" i="24"/>
  <c r="F45" i="24" s="1"/>
  <c r="C35" i="28"/>
  <c r="D72" i="22"/>
  <c r="D59" i="22"/>
  <c r="D23" i="22"/>
  <c r="E62" i="28"/>
  <c r="D61" i="28"/>
  <c r="D62" i="28" s="1"/>
  <c r="C61" i="28"/>
  <c r="C60" i="28"/>
  <c r="C59" i="28"/>
  <c r="C58" i="28"/>
  <c r="C57" i="28"/>
  <c r="F56" i="28"/>
  <c r="C56" i="28"/>
  <c r="C55" i="28"/>
  <c r="C54" i="28"/>
  <c r="C53" i="28"/>
  <c r="C52" i="28"/>
  <c r="C51" i="28"/>
  <c r="C50" i="28"/>
  <c r="C49" i="28"/>
  <c r="C48" i="28"/>
  <c r="C47" i="28"/>
  <c r="C46" i="28"/>
  <c r="C45" i="28"/>
  <c r="C44" i="28"/>
  <c r="C43" i="28"/>
  <c r="C42" i="28"/>
  <c r="C41" i="28"/>
  <c r="C40" i="28"/>
  <c r="C39" i="28"/>
  <c r="C38" i="28"/>
  <c r="C37" i="28"/>
  <c r="C36" i="28"/>
  <c r="C34" i="28"/>
  <c r="C33" i="28"/>
  <c r="C32" i="28"/>
  <c r="C31" i="28"/>
  <c r="C30" i="28"/>
  <c r="C29" i="28"/>
  <c r="C28" i="28"/>
  <c r="C27" i="28"/>
  <c r="C26" i="28"/>
  <c r="C25" i="28"/>
  <c r="C24" i="28"/>
  <c r="C23" i="28"/>
  <c r="C22" i="28"/>
  <c r="C21" i="28"/>
  <c r="C20" i="28"/>
  <c r="C19" i="28"/>
  <c r="C18" i="28"/>
  <c r="F17" i="28"/>
  <c r="F62" i="28" s="1"/>
  <c r="C17" i="28"/>
  <c r="A17" i="28"/>
  <c r="A18" i="28" s="1"/>
  <c r="A19" i="28" s="1"/>
  <c r="A20" i="28" s="1"/>
  <c r="A21" i="28" s="1"/>
  <c r="A22" i="28" s="1"/>
  <c r="A23" i="28" s="1"/>
  <c r="A24" i="28" s="1"/>
  <c r="A25" i="28" s="1"/>
  <c r="A26" i="28" s="1"/>
  <c r="A27" i="28" s="1"/>
  <c r="A28" i="28" s="1"/>
  <c r="A29" i="28" s="1"/>
  <c r="A30" i="28" s="1"/>
  <c r="A31" i="28" s="1"/>
  <c r="A32" i="28" s="1"/>
  <c r="A33" i="28" s="1"/>
  <c r="A34"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C16" i="28"/>
  <c r="C62" i="28" s="1"/>
  <c r="D207" i="20"/>
  <c r="G94" i="20"/>
  <c r="I174" i="14"/>
  <c r="D65" i="22"/>
  <c r="D190" i="20" l="1"/>
  <c r="D183" i="20"/>
  <c r="D153" i="20"/>
  <c r="D87" i="20"/>
  <c r="D70" i="20"/>
  <c r="D105" i="20"/>
  <c r="D20" i="20"/>
  <c r="D19" i="20"/>
  <c r="F167" i="14"/>
  <c r="F150" i="14"/>
  <c r="F110" i="14"/>
  <c r="F132" i="14"/>
  <c r="F144" i="14"/>
  <c r="F69" i="14"/>
  <c r="F45" i="14"/>
  <c r="F21" i="14"/>
  <c r="F20" i="14"/>
  <c r="D71" i="22" l="1"/>
  <c r="D70" i="22"/>
  <c r="D69" i="22"/>
  <c r="D63" i="22"/>
  <c r="D62" i="22"/>
  <c r="D15" i="22"/>
  <c r="F169" i="14"/>
  <c r="D93" i="20"/>
  <c r="D95" i="20"/>
  <c r="D90" i="20"/>
  <c r="D89" i="20"/>
  <c r="D91" i="20"/>
  <c r="D60" i="20"/>
  <c r="F173" i="14"/>
  <c r="F130" i="14"/>
  <c r="F170" i="14"/>
  <c r="F171" i="14"/>
  <c r="F104" i="14"/>
  <c r="G120" i="20"/>
  <c r="I126" i="14"/>
  <c r="E80" i="27"/>
  <c r="E79" i="27"/>
  <c r="G89" i="20" l="1"/>
  <c r="D57" i="2"/>
  <c r="D53" i="22"/>
  <c r="I169" i="14"/>
  <c r="D73" i="2"/>
  <c r="E141" i="20"/>
  <c r="C160" i="20"/>
  <c r="C161" i="20"/>
  <c r="E137" i="20"/>
  <c r="D220" i="20"/>
  <c r="D221" i="20"/>
  <c r="D76" i="20"/>
  <c r="E19" i="20"/>
  <c r="D22" i="22"/>
  <c r="D64" i="22"/>
  <c r="F86" i="14"/>
  <c r="E52" i="14"/>
  <c r="E53" i="14"/>
  <c r="G32" i="14" l="1"/>
  <c r="G28" i="14"/>
  <c r="F156" i="14"/>
  <c r="G20" i="14"/>
  <c r="D44" i="2"/>
  <c r="D32" i="22"/>
  <c r="E108" i="27"/>
  <c r="E94" i="20" l="1"/>
  <c r="E69" i="20"/>
  <c r="E68" i="20"/>
  <c r="E67" i="20"/>
  <c r="E85" i="20"/>
  <c r="G174" i="14"/>
  <c r="G149" i="14"/>
  <c r="G148" i="14"/>
  <c r="G147" i="14"/>
  <c r="G165" i="14"/>
  <c r="D60" i="22"/>
  <c r="D40" i="2" l="1"/>
  <c r="C192" i="20" l="1"/>
  <c r="E185" i="20"/>
  <c r="E184" i="20" s="1"/>
  <c r="C119" i="20"/>
  <c r="E118" i="20"/>
  <c r="E101" i="20" s="1"/>
  <c r="G63" i="14"/>
  <c r="G91" i="14"/>
  <c r="E95" i="14"/>
  <c r="E70" i="14"/>
  <c r="E98" i="27"/>
  <c r="D71" i="2"/>
  <c r="E83" i="14"/>
  <c r="D195" i="20"/>
  <c r="C196" i="20"/>
  <c r="F80" i="14"/>
  <c r="J64" i="14"/>
  <c r="E65" i="14"/>
  <c r="C157" i="20"/>
  <c r="C158" i="20"/>
  <c r="C163" i="20"/>
  <c r="E162" i="20"/>
  <c r="C162" i="20" s="1"/>
  <c r="C193" i="20"/>
  <c r="H109" i="20"/>
  <c r="D208" i="20"/>
  <c r="H212" i="20"/>
  <c r="F145" i="14"/>
  <c r="J116" i="14"/>
  <c r="H91" i="14"/>
  <c r="I91" i="14"/>
  <c r="J91" i="14"/>
  <c r="E136" i="20" l="1"/>
  <c r="C118" i="20"/>
  <c r="E54" i="20"/>
  <c r="F54" i="20"/>
  <c r="H54" i="20"/>
  <c r="C159" i="20"/>
  <c r="C117" i="20"/>
  <c r="G97" i="14"/>
  <c r="H97" i="14"/>
  <c r="J97" i="14"/>
  <c r="E51" i="14"/>
  <c r="E124" i="14"/>
  <c r="E39" i="27"/>
  <c r="D27" i="22" l="1"/>
  <c r="H217" i="20"/>
  <c r="J77" i="14"/>
  <c r="G19" i="14" l="1"/>
  <c r="E49" i="14"/>
  <c r="E81" i="27"/>
  <c r="A41" i="22"/>
  <c r="D113" i="20"/>
  <c r="D109" i="20" s="1"/>
  <c r="F120" i="14"/>
  <c r="F116" i="14" s="1"/>
  <c r="E50" i="14"/>
  <c r="E94" i="27"/>
  <c r="D149" i="20"/>
  <c r="D137" i="20" s="1"/>
  <c r="F41" i="14"/>
  <c r="F28" i="14" s="1"/>
  <c r="F143" i="14"/>
  <c r="F142" i="14"/>
  <c r="F141" i="14"/>
  <c r="F140" i="14"/>
  <c r="F139" i="14"/>
  <c r="F138" i="14"/>
  <c r="F137" i="14"/>
  <c r="F136" i="14"/>
  <c r="D52" i="20"/>
  <c r="D51" i="20"/>
  <c r="D50" i="20"/>
  <c r="D49" i="20"/>
  <c r="D48" i="20"/>
  <c r="D47" i="20"/>
  <c r="D46" i="20"/>
  <c r="D45" i="20"/>
  <c r="D44" i="20"/>
  <c r="D43" i="20"/>
  <c r="D92" i="20"/>
  <c r="F172" i="14"/>
  <c r="D199" i="20" l="1"/>
  <c r="B12" i="2"/>
  <c r="B13" i="2" s="1"/>
  <c r="B14" i="2" s="1"/>
  <c r="B15" i="2" s="1"/>
  <c r="B16" i="2" s="1"/>
  <c r="B17" i="2" s="1"/>
  <c r="B18" i="2" s="1"/>
  <c r="B19" i="2" s="1"/>
  <c r="B20" i="2" s="1"/>
  <c r="B21" i="2" s="1"/>
  <c r="B22" i="2" s="1"/>
  <c r="B23" i="2" s="1"/>
  <c r="B24" i="2" s="1"/>
  <c r="B25" i="2" s="1"/>
  <c r="B26" i="2" s="1"/>
  <c r="B27" i="2" s="1"/>
  <c r="B28" i="2" s="1"/>
  <c r="B29" i="2" s="1"/>
  <c r="B30" i="2" s="1"/>
  <c r="B31" i="2" s="1"/>
  <c r="C19" i="14"/>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C59" i="14" s="1"/>
  <c r="C60" i="14" s="1"/>
  <c r="C61" i="14" s="1"/>
  <c r="C62" i="14" s="1"/>
  <c r="C63" i="14" s="1"/>
  <c r="C64" i="14" s="1"/>
  <c r="C65" i="14" s="1"/>
  <c r="C66" i="14" s="1"/>
  <c r="C67" i="14" s="1"/>
  <c r="C68" i="14" s="1"/>
  <c r="C69" i="14" s="1"/>
  <c r="H146" i="14"/>
  <c r="E90" i="14"/>
  <c r="E89" i="14"/>
  <c r="E88" i="14"/>
  <c r="J87" i="14"/>
  <c r="F87" i="14"/>
  <c r="E87" i="14" s="1"/>
  <c r="K91" i="14"/>
  <c r="F91" i="14"/>
  <c r="J185" i="20"/>
  <c r="J184" i="20" s="1"/>
  <c r="J226" i="20" s="1"/>
  <c r="H209" i="20"/>
  <c r="H38" i="20"/>
  <c r="H185" i="20"/>
  <c r="H184" i="20" s="1"/>
  <c r="C165" i="20"/>
  <c r="I164" i="20"/>
  <c r="I136" i="20" s="1"/>
  <c r="I185" i="20"/>
  <c r="I184" i="20" s="1"/>
  <c r="D185" i="20"/>
  <c r="I223" i="20"/>
  <c r="D223" i="20"/>
  <c r="C223" i="20" s="1"/>
  <c r="C224" i="20"/>
  <c r="I54" i="20"/>
  <c r="I53" i="20" s="1"/>
  <c r="D54" i="20"/>
  <c r="C66" i="20"/>
  <c r="I212" i="20"/>
  <c r="D212" i="20"/>
  <c r="C216" i="20"/>
  <c r="I27" i="20"/>
  <c r="D27" i="20"/>
  <c r="C31" i="20"/>
  <c r="L63" i="14"/>
  <c r="L146" i="14" s="1"/>
  <c r="K63" i="14"/>
  <c r="F63" i="14"/>
  <c r="K72" i="14"/>
  <c r="F72" i="14"/>
  <c r="E76" i="14"/>
  <c r="K97" i="14"/>
  <c r="F97" i="14"/>
  <c r="E115" i="14"/>
  <c r="K54" i="14"/>
  <c r="K146" i="14" s="1"/>
  <c r="F54" i="14"/>
  <c r="E62" i="14"/>
  <c r="E96" i="14"/>
  <c r="J63" i="14"/>
  <c r="E63" i="14" s="1"/>
  <c r="D66" i="22"/>
  <c r="D55" i="2"/>
  <c r="D38" i="2"/>
  <c r="D36" i="2"/>
  <c r="D34" i="2"/>
  <c r="D32" i="2"/>
  <c r="D29" i="2"/>
  <c r="D26" i="2"/>
  <c r="D19" i="2"/>
  <c r="D15" i="2"/>
  <c r="D11" i="2"/>
  <c r="D42" i="2" s="1"/>
  <c r="E78" i="27"/>
  <c r="E68" i="27"/>
  <c r="E37" i="27"/>
  <c r="E33" i="27"/>
  <c r="E29" i="27"/>
  <c r="A15" i="27"/>
  <c r="A16" i="27" s="1"/>
  <c r="A17" i="27" s="1"/>
  <c r="A18" i="27" s="1"/>
  <c r="A19" i="27" s="1"/>
  <c r="A20" i="27" s="1"/>
  <c r="A21" i="27" s="1"/>
  <c r="A22" i="27" s="1"/>
  <c r="A23" i="27" s="1"/>
  <c r="A24" i="27" s="1"/>
  <c r="A25" i="27" s="1"/>
  <c r="A26"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9" i="27" s="1"/>
  <c r="A70" i="27" s="1"/>
  <c r="A71" i="27" s="1"/>
  <c r="A72" i="27" s="1"/>
  <c r="A73" i="27" s="1"/>
  <c r="A74" i="27" s="1"/>
  <c r="A75" i="27" s="1"/>
  <c r="A76" i="27" s="1"/>
  <c r="A77" i="27" s="1"/>
  <c r="A78" i="27" s="1"/>
  <c r="A79" i="27" s="1"/>
  <c r="A80" i="27" s="1"/>
  <c r="A81" i="27" s="1"/>
  <c r="A82" i="27" s="1"/>
  <c r="A83" i="27" s="1"/>
  <c r="A84" i="27" s="1"/>
  <c r="A85" i="27" s="1"/>
  <c r="A91" i="27" s="1"/>
  <c r="A92" i="27" s="1"/>
  <c r="A96" i="27" s="1"/>
  <c r="E66" i="27" l="1"/>
  <c r="C70" i="14"/>
  <c r="C71" i="14" s="1"/>
  <c r="C72" i="14" s="1"/>
  <c r="C73" i="14" s="1"/>
  <c r="C74" i="14" s="1"/>
  <c r="C75" i="14" s="1"/>
  <c r="C76" i="14" s="1"/>
  <c r="C77" i="14" s="1"/>
  <c r="C78" i="14" s="1"/>
  <c r="C79" i="14" s="1"/>
  <c r="C80" i="14" s="1"/>
  <c r="C81" i="14" s="1"/>
  <c r="C82" i="14" s="1"/>
  <c r="C83" i="14"/>
  <c r="C84" i="14" s="1"/>
  <c r="C85" i="14" s="1"/>
  <c r="C86" i="14" s="1"/>
  <c r="C87" i="14" s="1"/>
  <c r="C88" i="14" s="1"/>
  <c r="C89" i="14" s="1"/>
  <c r="C90" i="14" s="1"/>
  <c r="C91" i="14" s="1"/>
  <c r="C92" i="14" s="1"/>
  <c r="C93" i="14" s="1"/>
  <c r="C94" i="14" s="1"/>
  <c r="B32" i="2"/>
  <c r="B33" i="2" s="1"/>
  <c r="B34" i="2" s="1"/>
  <c r="B35" i="2" s="1"/>
  <c r="D43" i="2"/>
  <c r="E97" i="14"/>
  <c r="C185" i="20"/>
  <c r="D76" i="2"/>
  <c r="B36" i="2"/>
  <c r="B37" i="2" s="1"/>
  <c r="B38" i="2" s="1"/>
  <c r="B39" i="2" s="1"/>
  <c r="B43" i="2" s="1"/>
  <c r="B44" i="2" s="1"/>
  <c r="B45" i="2" s="1"/>
  <c r="B46" i="2" s="1"/>
  <c r="B47" i="2" s="1"/>
  <c r="I209" i="20"/>
  <c r="L176" i="14"/>
  <c r="C95" i="14" l="1"/>
  <c r="C96" i="14" s="1"/>
  <c r="C97" i="14" s="1"/>
  <c r="C98" i="14" s="1"/>
  <c r="C99" i="14" s="1"/>
  <c r="C100" i="14" s="1"/>
  <c r="C101" i="14" s="1"/>
  <c r="C102" i="14" s="1"/>
  <c r="C103" i="14" s="1"/>
  <c r="C104" i="14" s="1"/>
  <c r="C105" i="14" s="1"/>
  <c r="C106" i="14" s="1"/>
  <c r="C107" i="14" s="1"/>
  <c r="C108" i="14" s="1"/>
  <c r="C109" i="14" s="1"/>
  <c r="C110" i="14" s="1"/>
  <c r="C111" i="14" s="1"/>
  <c r="C112" i="14" s="1"/>
  <c r="C113" i="14" s="1"/>
  <c r="C114" i="14" s="1"/>
  <c r="C115" i="14" s="1"/>
  <c r="C116" i="14" s="1"/>
  <c r="C117" i="14" s="1"/>
  <c r="C118" i="14" s="1"/>
  <c r="C119" i="14" s="1"/>
  <c r="C120" i="14" s="1"/>
  <c r="C121" i="14" s="1"/>
  <c r="C122" i="14" s="1"/>
  <c r="C123" i="14" s="1"/>
  <c r="C124" i="14" s="1"/>
  <c r="C125" i="14" s="1"/>
  <c r="C126" i="14" s="1"/>
  <c r="C127" i="14" s="1"/>
  <c r="C128" i="14" s="1"/>
  <c r="C129" i="14" s="1"/>
  <c r="C130" i="14" s="1"/>
  <c r="C131" i="14" s="1"/>
  <c r="C132" i="14" s="1"/>
  <c r="C133" i="14" s="1"/>
  <c r="C134" i="14" s="1"/>
  <c r="C138" i="14" s="1"/>
  <c r="C139" i="14" s="1"/>
  <c r="C140" i="14" s="1"/>
  <c r="C141" i="14" s="1"/>
  <c r="C142" i="14" s="1"/>
  <c r="C143" i="14" s="1"/>
  <c r="C144" i="14" s="1"/>
  <c r="C145" i="14" s="1"/>
  <c r="C146" i="14" s="1"/>
  <c r="C147" i="14" s="1"/>
  <c r="C148" i="14" s="1"/>
  <c r="C149" i="14" s="1"/>
  <c r="C150" i="14" s="1"/>
  <c r="C151" i="14" s="1"/>
  <c r="C152" i="14" s="1"/>
  <c r="C153" i="14" s="1"/>
  <c r="C154" i="14" s="1"/>
  <c r="C155" i="14" s="1"/>
  <c r="C156" i="14" s="1"/>
  <c r="C157" i="14" s="1"/>
  <c r="C158" i="14" s="1"/>
  <c r="C159" i="14" s="1"/>
  <c r="C160" i="14" s="1"/>
  <c r="C161" i="14" s="1"/>
  <c r="C162" i="14" s="1"/>
  <c r="C163" i="14" s="1"/>
  <c r="C164" i="14" s="1"/>
  <c r="C165" i="14" s="1"/>
  <c r="C166" i="14" s="1"/>
  <c r="C167" i="14" s="1"/>
  <c r="C168" i="14" s="1"/>
  <c r="C169" i="14" s="1"/>
  <c r="C170" i="14" s="1"/>
  <c r="C171" i="14" s="1"/>
  <c r="C172" i="14" s="1"/>
  <c r="C173" i="14" s="1"/>
  <c r="C174" i="14" s="1"/>
  <c r="C175" i="14" s="1"/>
  <c r="C176" i="14" s="1"/>
  <c r="B48" i="2"/>
  <c r="B49" i="2" s="1"/>
  <c r="B50" i="2" s="1"/>
  <c r="B62" i="2" s="1"/>
  <c r="B63" i="2" s="1"/>
  <c r="B64" i="2" s="1"/>
  <c r="E121" i="27"/>
  <c r="D21" i="22"/>
  <c r="D17" i="22"/>
  <c r="D14" i="22"/>
  <c r="D13" i="22"/>
  <c r="D78" i="22" l="1"/>
  <c r="F19" i="14"/>
  <c r="D18" i="20"/>
  <c r="E18" i="20"/>
  <c r="G101" i="20"/>
  <c r="H101" i="20"/>
  <c r="H136" i="20"/>
  <c r="D125" i="20"/>
  <c r="H27" i="20"/>
  <c r="H18" i="20"/>
  <c r="F133" i="14"/>
  <c r="J19" i="14"/>
  <c r="J54" i="14"/>
  <c r="E128" i="14"/>
  <c r="E127" i="14"/>
  <c r="C122" i="20"/>
  <c r="D179" i="20"/>
  <c r="C60" i="20"/>
  <c r="D38" i="20"/>
  <c r="D32" i="20"/>
  <c r="J146" i="14" l="1"/>
  <c r="H15" i="20"/>
  <c r="C225" i="20"/>
  <c r="C222" i="20"/>
  <c r="C220" i="20"/>
  <c r="C219" i="20"/>
  <c r="C218" i="20"/>
  <c r="C215" i="20"/>
  <c r="C214" i="20"/>
  <c r="C213" i="20"/>
  <c r="C211" i="20"/>
  <c r="C208" i="20"/>
  <c r="C207" i="20"/>
  <c r="C206" i="20"/>
  <c r="C205" i="20"/>
  <c r="C204" i="20"/>
  <c r="C203" i="20"/>
  <c r="C202" i="20"/>
  <c r="C201" i="20"/>
  <c r="C200" i="20"/>
  <c r="C199" i="20"/>
  <c r="C198" i="20"/>
  <c r="C197" i="20"/>
  <c r="C195" i="20"/>
  <c r="C191" i="20"/>
  <c r="C190" i="20"/>
  <c r="C189" i="20"/>
  <c r="C188" i="20"/>
  <c r="C187" i="20"/>
  <c r="C186" i="20"/>
  <c r="C183" i="20"/>
  <c r="C182" i="20"/>
  <c r="C181" i="20"/>
  <c r="C180" i="20"/>
  <c r="C179" i="20"/>
  <c r="C178" i="20"/>
  <c r="C177" i="20"/>
  <c r="C176" i="20"/>
  <c r="C175" i="20"/>
  <c r="C174" i="20"/>
  <c r="C173" i="20"/>
  <c r="C172" i="20"/>
  <c r="C171" i="20"/>
  <c r="C170" i="20"/>
  <c r="C169" i="20"/>
  <c r="C167" i="20"/>
  <c r="C166" i="20"/>
  <c r="C164" i="20"/>
  <c r="C156" i="20"/>
  <c r="C155" i="20"/>
  <c r="C154" i="20"/>
  <c r="C153" i="20"/>
  <c r="C152" i="20"/>
  <c r="C151" i="20"/>
  <c r="C150" i="20"/>
  <c r="C149" i="20"/>
  <c r="C148" i="20"/>
  <c r="C147" i="20"/>
  <c r="C146" i="20"/>
  <c r="C145" i="20"/>
  <c r="C144" i="20"/>
  <c r="C143" i="20"/>
  <c r="C142" i="20"/>
  <c r="C141" i="20"/>
  <c r="C140" i="20"/>
  <c r="C139" i="20"/>
  <c r="C138" i="20"/>
  <c r="C135" i="20"/>
  <c r="C134" i="20"/>
  <c r="C133" i="20"/>
  <c r="C132" i="20"/>
  <c r="C131" i="20"/>
  <c r="C130" i="20"/>
  <c r="C129" i="20"/>
  <c r="C128" i="20"/>
  <c r="C127" i="20"/>
  <c r="C126" i="20"/>
  <c r="C125" i="20"/>
  <c r="C124" i="20"/>
  <c r="C123" i="20"/>
  <c r="C121" i="20"/>
  <c r="C120" i="20"/>
  <c r="C116" i="20"/>
  <c r="C115" i="20"/>
  <c r="C114" i="20"/>
  <c r="C113" i="20"/>
  <c r="C112" i="20"/>
  <c r="C111" i="20"/>
  <c r="C110" i="20"/>
  <c r="C108" i="20"/>
  <c r="C107" i="20"/>
  <c r="C106" i="20"/>
  <c r="C105" i="20"/>
  <c r="C104" i="20"/>
  <c r="C103" i="20"/>
  <c r="C100" i="20"/>
  <c r="C99" i="20"/>
  <c r="C98"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1" i="20"/>
  <c r="C70" i="20"/>
  <c r="C69" i="20"/>
  <c r="C68" i="20"/>
  <c r="C67" i="20"/>
  <c r="C65" i="20"/>
  <c r="C64" i="20"/>
  <c r="C63" i="20"/>
  <c r="C62" i="20"/>
  <c r="C61" i="20"/>
  <c r="C59" i="20"/>
  <c r="C58" i="20"/>
  <c r="C57" i="20"/>
  <c r="C56" i="20"/>
  <c r="C55" i="20"/>
  <c r="C52" i="20"/>
  <c r="C51" i="20"/>
  <c r="C50" i="20"/>
  <c r="C49" i="20"/>
  <c r="C48" i="20"/>
  <c r="C47" i="20"/>
  <c r="C46" i="20"/>
  <c r="C45" i="20"/>
  <c r="C44" i="20"/>
  <c r="C43" i="20"/>
  <c r="C42" i="20"/>
  <c r="C41" i="20"/>
  <c r="C40" i="20"/>
  <c r="C39" i="20"/>
  <c r="C37" i="20"/>
  <c r="C36" i="20"/>
  <c r="C34" i="20"/>
  <c r="C33" i="20"/>
  <c r="C30" i="20"/>
  <c r="C29" i="20"/>
  <c r="C28" i="20"/>
  <c r="C26" i="20"/>
  <c r="C24" i="20"/>
  <c r="C23" i="20"/>
  <c r="C22" i="20"/>
  <c r="C21" i="20"/>
  <c r="C20" i="20"/>
  <c r="C19" i="20"/>
  <c r="C17" i="20"/>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5" i="14"/>
  <c r="E144" i="14"/>
  <c r="E143" i="14"/>
  <c r="E142" i="14"/>
  <c r="E141" i="14"/>
  <c r="E140" i="14"/>
  <c r="E139" i="14"/>
  <c r="E138" i="14"/>
  <c r="E137" i="14"/>
  <c r="E136" i="14"/>
  <c r="E134" i="14"/>
  <c r="E133" i="14"/>
  <c r="E132" i="14"/>
  <c r="E131" i="14"/>
  <c r="E130" i="14"/>
  <c r="E129" i="14"/>
  <c r="E126" i="14"/>
  <c r="E125" i="14"/>
  <c r="E123" i="14"/>
  <c r="E122" i="14"/>
  <c r="E121" i="14"/>
  <c r="E120" i="14"/>
  <c r="E119" i="14"/>
  <c r="E118" i="14"/>
  <c r="E117" i="14"/>
  <c r="E114" i="14"/>
  <c r="E113" i="14"/>
  <c r="E112" i="14"/>
  <c r="E111" i="14"/>
  <c r="E110" i="14"/>
  <c r="E109" i="14"/>
  <c r="E108" i="14"/>
  <c r="E107" i="14"/>
  <c r="E106" i="14"/>
  <c r="E105" i="14"/>
  <c r="E104" i="14"/>
  <c r="E103" i="14"/>
  <c r="E102" i="14"/>
  <c r="E101" i="14"/>
  <c r="E100" i="14"/>
  <c r="E99" i="14"/>
  <c r="E98" i="14"/>
  <c r="E94" i="14"/>
  <c r="E93" i="14"/>
  <c r="E92" i="14"/>
  <c r="E86" i="14"/>
  <c r="E85" i="14"/>
  <c r="E84" i="14"/>
  <c r="E82" i="14"/>
  <c r="E81" i="14"/>
  <c r="E80" i="14"/>
  <c r="E79" i="14"/>
  <c r="E78" i="14"/>
  <c r="E75" i="14"/>
  <c r="E74" i="14"/>
  <c r="E73" i="14"/>
  <c r="E71" i="14"/>
  <c r="E69" i="14"/>
  <c r="E68" i="14"/>
  <c r="E67" i="14"/>
  <c r="E66" i="14"/>
  <c r="E64" i="14"/>
  <c r="E61" i="14"/>
  <c r="E60" i="14"/>
  <c r="E59" i="14"/>
  <c r="E58" i="14"/>
  <c r="E57" i="14"/>
  <c r="E56" i="14"/>
  <c r="E55" i="14"/>
  <c r="E48" i="14"/>
  <c r="E47" i="14"/>
  <c r="E46" i="14"/>
  <c r="E45" i="14"/>
  <c r="E44" i="14"/>
  <c r="E43" i="14"/>
  <c r="E42" i="14"/>
  <c r="E41" i="14"/>
  <c r="E40" i="14"/>
  <c r="E39" i="14"/>
  <c r="E38" i="14"/>
  <c r="E37" i="14"/>
  <c r="E36" i="14"/>
  <c r="E35" i="14"/>
  <c r="E34" i="14"/>
  <c r="E33" i="14"/>
  <c r="E32" i="14"/>
  <c r="E31" i="14"/>
  <c r="E30" i="14"/>
  <c r="E29" i="14"/>
  <c r="E27" i="14"/>
  <c r="E26" i="14"/>
  <c r="E25" i="14"/>
  <c r="E24" i="14"/>
  <c r="E23" i="14"/>
  <c r="E22" i="14"/>
  <c r="E21" i="14"/>
  <c r="E20" i="14"/>
  <c r="E18" i="14"/>
  <c r="H53" i="20"/>
  <c r="J175" i="14"/>
  <c r="J176" i="14" s="1"/>
  <c r="H226" i="20" l="1"/>
  <c r="I15" i="20"/>
  <c r="D194" i="20" l="1"/>
  <c r="C194" i="20" s="1"/>
  <c r="C38" i="20"/>
  <c r="D184" i="20" l="1"/>
  <c r="D53" i="20"/>
  <c r="C221" i="20" l="1"/>
  <c r="F175" i="14" l="1"/>
  <c r="C18" i="20" l="1"/>
  <c r="E72" i="14"/>
  <c r="D136" i="20" l="1"/>
  <c r="E28" i="14"/>
  <c r="C137" i="20" l="1"/>
  <c r="I226" i="20" l="1"/>
  <c r="K176" i="14"/>
  <c r="C109" i="20"/>
  <c r="C54" i="20"/>
  <c r="D16" i="20"/>
  <c r="C16" i="20" l="1"/>
  <c r="E116" i="14"/>
  <c r="F17" i="14"/>
  <c r="E17" i="14" l="1"/>
  <c r="E212" i="20"/>
  <c r="C212" i="20" s="1"/>
  <c r="G175" i="14" l="1"/>
  <c r="H175" i="14"/>
  <c r="I175" i="14"/>
  <c r="E91" i="14"/>
  <c r="E175" i="14" l="1"/>
  <c r="A16" i="20"/>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8" i="20" s="1"/>
  <c r="A163" i="20" s="1"/>
  <c r="A164" i="20" s="1"/>
  <c r="A165" i="20" s="1"/>
  <c r="A166" i="20" s="1"/>
  <c r="A167" i="20" s="1"/>
  <c r="A170" i="20" s="1"/>
  <c r="A171" i="20" s="1"/>
  <c r="A172" i="20" s="1"/>
  <c r="A173" i="20" s="1"/>
  <c r="A174" i="20" s="1"/>
  <c r="A175" i="20" s="1"/>
  <c r="A176" i="20" s="1"/>
  <c r="A177" i="20" s="1"/>
  <c r="A178" i="20" s="1"/>
  <c r="A179" i="20" s="1"/>
  <c r="A180" i="20" s="1"/>
  <c r="A181" i="20" s="1"/>
  <c r="A182" i="20" s="1"/>
  <c r="A183" i="20" s="1"/>
  <c r="A184" i="20" s="1"/>
  <c r="A185" i="20" s="1"/>
  <c r="A186" i="20" s="1"/>
  <c r="A187" i="20" s="1"/>
  <c r="A188" i="20" s="1"/>
  <c r="A189" i="20" s="1"/>
  <c r="A190" i="20" s="1"/>
  <c r="A191" i="20" s="1"/>
  <c r="A194" i="20" s="1"/>
  <c r="A195" i="20" s="1"/>
  <c r="A210" i="20" l="1"/>
  <c r="A211" i="20" s="1"/>
  <c r="A212" i="20" s="1"/>
  <c r="A213" i="20" s="1"/>
  <c r="A214" i="20" s="1"/>
  <c r="A215" i="20" s="1"/>
  <c r="A216" i="20" s="1"/>
  <c r="A217" i="20" s="1"/>
  <c r="A218" i="20" s="1"/>
  <c r="A219" i="20" s="1"/>
  <c r="A220" i="20" s="1"/>
  <c r="A221" i="20" s="1"/>
  <c r="A222" i="20" s="1"/>
  <c r="A223" i="20" s="1"/>
  <c r="A224" i="20" s="1"/>
  <c r="A225" i="20" s="1"/>
  <c r="A226" i="20" s="1"/>
  <c r="A196" i="20"/>
  <c r="A197" i="20" s="1"/>
  <c r="A198" i="20" s="1"/>
  <c r="A199" i="20" s="1"/>
  <c r="A200" i="20" s="1"/>
  <c r="A201" i="20" s="1"/>
  <c r="A202" i="20" s="1"/>
  <c r="A203" i="20" s="1"/>
  <c r="A204" i="20" s="1"/>
  <c r="A205" i="20" s="1"/>
  <c r="A206" i="20" s="1"/>
  <c r="A207" i="20" s="1"/>
  <c r="A208" i="20" s="1"/>
  <c r="G136" i="20"/>
  <c r="C136" i="20" s="1"/>
  <c r="F77" i="14"/>
  <c r="F146" i="14" s="1"/>
  <c r="E77" i="14" l="1"/>
  <c r="E25" i="20" l="1"/>
  <c r="C25" i="20" s="1"/>
  <c r="E27" i="20"/>
  <c r="G27" i="20"/>
  <c r="G15" i="20" s="1"/>
  <c r="C32" i="20"/>
  <c r="D35" i="20"/>
  <c r="G53" i="20"/>
  <c r="E53" i="20"/>
  <c r="F53" i="20"/>
  <c r="F226" i="20" s="1"/>
  <c r="D102" i="20"/>
  <c r="G184" i="20"/>
  <c r="C184" i="20" s="1"/>
  <c r="D210" i="20"/>
  <c r="E209" i="20"/>
  <c r="D217" i="20"/>
  <c r="C217" i="20" s="1"/>
  <c r="C35" i="20" l="1"/>
  <c r="D15" i="20"/>
  <c r="C53" i="20"/>
  <c r="C102" i="20"/>
  <c r="D101" i="20"/>
  <c r="C101" i="20" s="1"/>
  <c r="C210" i="20"/>
  <c r="D209" i="20"/>
  <c r="C209" i="20" s="1"/>
  <c r="C27" i="20"/>
  <c r="G226" i="20"/>
  <c r="E15" i="20"/>
  <c r="E226" i="20" s="1"/>
  <c r="C15" i="20" l="1"/>
  <c r="D226" i="20"/>
  <c r="C226" i="20" l="1"/>
  <c r="G54" i="14"/>
  <c r="G146" i="14" l="1"/>
  <c r="H176" i="14"/>
  <c r="E19" i="14"/>
  <c r="I54" i="14"/>
  <c r="G67" i="15"/>
  <c r="G72" i="15"/>
  <c r="F79" i="15"/>
  <c r="F72" i="15"/>
  <c r="F67" i="15"/>
  <c r="S89" i="15"/>
  <c r="G207" i="15"/>
  <c r="C207" i="15" s="1"/>
  <c r="D207" i="15"/>
  <c r="H206" i="15"/>
  <c r="G206" i="15"/>
  <c r="C206" i="15" s="1"/>
  <c r="G205" i="15"/>
  <c r="C205" i="15" s="1"/>
  <c r="D205" i="15"/>
  <c r="G204" i="15"/>
  <c r="C204" i="15" s="1"/>
  <c r="D204" i="15"/>
  <c r="A204" i="15"/>
  <c r="A205" i="15" s="1"/>
  <c r="H203" i="15"/>
  <c r="G203" i="15"/>
  <c r="C203" i="15" s="1"/>
  <c r="G202" i="15"/>
  <c r="G200" i="15" s="1"/>
  <c r="D202" i="15"/>
  <c r="K201" i="15"/>
  <c r="C201" i="15" s="1"/>
  <c r="D201" i="15"/>
  <c r="L200" i="15"/>
  <c r="H200" i="15"/>
  <c r="G199" i="15"/>
  <c r="G198" i="15" s="1"/>
  <c r="C198" i="15" s="1"/>
  <c r="D199" i="15"/>
  <c r="A199" i="15"/>
  <c r="A200" i="15"/>
  <c r="A201" i="15" s="1"/>
  <c r="A202" i="15" s="1"/>
  <c r="H198" i="15"/>
  <c r="L197" i="15"/>
  <c r="S196" i="15"/>
  <c r="G196" i="15"/>
  <c r="C196" i="15" s="1"/>
  <c r="E196" i="15"/>
  <c r="D196" i="15"/>
  <c r="G195" i="15"/>
  <c r="C195" i="15" s="1"/>
  <c r="E195" i="15"/>
  <c r="D195" i="15"/>
  <c r="G194" i="15"/>
  <c r="C194" i="15" s="1"/>
  <c r="E194" i="15"/>
  <c r="D194" i="15"/>
  <c r="S193" i="15"/>
  <c r="G193" i="15"/>
  <c r="C193" i="15" s="1"/>
  <c r="E193" i="15"/>
  <c r="D193" i="15"/>
  <c r="G192" i="15"/>
  <c r="C192" i="15" s="1"/>
  <c r="E192" i="15"/>
  <c r="D192" i="15"/>
  <c r="G191" i="15"/>
  <c r="C191" i="15" s="1"/>
  <c r="E191" i="15"/>
  <c r="D191" i="15"/>
  <c r="G190" i="15"/>
  <c r="C190" i="15" s="1"/>
  <c r="E190" i="15"/>
  <c r="D190" i="15"/>
  <c r="S189" i="15"/>
  <c r="G189" i="15"/>
  <c r="E189" i="15"/>
  <c r="D189" i="15"/>
  <c r="G188" i="15"/>
  <c r="C188" i="15" s="1"/>
  <c r="E188" i="15"/>
  <c r="D188" i="15"/>
  <c r="A188" i="15"/>
  <c r="A189" i="15" s="1"/>
  <c r="A190" i="15" s="1"/>
  <c r="A191" i="15" s="1"/>
  <c r="A192" i="15" s="1"/>
  <c r="A193" i="15" s="1"/>
  <c r="A194" i="15" s="1"/>
  <c r="A195" i="15" s="1"/>
  <c r="A196" i="15" s="1"/>
  <c r="S187" i="15"/>
  <c r="G187" i="15"/>
  <c r="C187" i="15"/>
  <c r="E187" i="15"/>
  <c r="D187" i="15"/>
  <c r="G186" i="15"/>
  <c r="G185" i="15"/>
  <c r="C185" i="15" s="1"/>
  <c r="D186" i="15"/>
  <c r="A186" i="15"/>
  <c r="H185" i="15"/>
  <c r="D185" i="15" s="1"/>
  <c r="G184" i="15"/>
  <c r="C184" i="15" s="1"/>
  <c r="D184" i="15"/>
  <c r="G183" i="15"/>
  <c r="C183" i="15" s="1"/>
  <c r="D183" i="15"/>
  <c r="G182" i="15"/>
  <c r="C182" i="15" s="1"/>
  <c r="D182" i="15"/>
  <c r="K181" i="15"/>
  <c r="C181" i="15"/>
  <c r="D181" i="15"/>
  <c r="G180" i="15"/>
  <c r="C180" i="15" s="1"/>
  <c r="D180" i="15"/>
  <c r="A180" i="15"/>
  <c r="A181" i="15" s="1"/>
  <c r="G179" i="15"/>
  <c r="C179" i="15" s="1"/>
  <c r="F179" i="15"/>
  <c r="K178" i="15"/>
  <c r="C178" i="15" s="1"/>
  <c r="F178" i="15"/>
  <c r="N177" i="15"/>
  <c r="K177" i="15" s="1"/>
  <c r="G177" i="15"/>
  <c r="D177" i="15"/>
  <c r="L176" i="15"/>
  <c r="J176" i="15"/>
  <c r="J175" i="15" s="1"/>
  <c r="H176" i="15"/>
  <c r="V175" i="15"/>
  <c r="U175" i="15"/>
  <c r="T175" i="15"/>
  <c r="I175" i="15"/>
  <c r="S174" i="15"/>
  <c r="K174" i="15"/>
  <c r="E174" i="15"/>
  <c r="D174" i="15"/>
  <c r="A174" i="15"/>
  <c r="A175" i="15" s="1"/>
  <c r="A176" i="15" s="1"/>
  <c r="A177" i="15" s="1"/>
  <c r="A178" i="15" s="1"/>
  <c r="S173" i="15"/>
  <c r="K173" i="15"/>
  <c r="C173" i="15" s="1"/>
  <c r="E173" i="15"/>
  <c r="D173" i="15"/>
  <c r="G172" i="15"/>
  <c r="C172" i="15" s="1"/>
  <c r="D172" i="15"/>
  <c r="G171" i="15"/>
  <c r="C171" i="15"/>
  <c r="D171" i="15"/>
  <c r="D170" i="15"/>
  <c r="K169" i="15"/>
  <c r="C169" i="15"/>
  <c r="E169" i="15"/>
  <c r="D169" i="15"/>
  <c r="K168" i="15"/>
  <c r="C168" i="15"/>
  <c r="E168" i="15"/>
  <c r="D168" i="15"/>
  <c r="K167" i="15"/>
  <c r="C167" i="15"/>
  <c r="E167" i="15"/>
  <c r="D167" i="15"/>
  <c r="K166" i="15"/>
  <c r="G166" i="15"/>
  <c r="E166" i="15"/>
  <c r="D166" i="15"/>
  <c r="K165" i="15"/>
  <c r="C165" i="15"/>
  <c r="E165" i="15"/>
  <c r="D165" i="15"/>
  <c r="K164" i="15"/>
  <c r="C164" i="15"/>
  <c r="E164" i="15"/>
  <c r="D164" i="15"/>
  <c r="K163" i="15"/>
  <c r="C163" i="15"/>
  <c r="E163" i="15"/>
  <c r="D163" i="15"/>
  <c r="K162" i="15"/>
  <c r="C162" i="15"/>
  <c r="E162" i="15"/>
  <c r="D162" i="15"/>
  <c r="K161" i="15"/>
  <c r="C161" i="15"/>
  <c r="E161" i="15"/>
  <c r="D161" i="15"/>
  <c r="K160" i="15"/>
  <c r="C160" i="15"/>
  <c r="E160" i="15"/>
  <c r="D160" i="15"/>
  <c r="K159" i="15"/>
  <c r="C159" i="15"/>
  <c r="E159" i="15"/>
  <c r="D159" i="15"/>
  <c r="K158" i="15"/>
  <c r="C158" i="15"/>
  <c r="E158" i="15"/>
  <c r="D158" i="15"/>
  <c r="A158" i="15"/>
  <c r="A159" i="15"/>
  <c r="A160" i="15" s="1"/>
  <c r="A161" i="15" s="1"/>
  <c r="A162" i="15" s="1"/>
  <c r="A163" i="15" s="1"/>
  <c r="A164" i="15" s="1"/>
  <c r="A165" i="15" s="1"/>
  <c r="A166" i="15" s="1"/>
  <c r="A167" i="15" s="1"/>
  <c r="A168" i="15" s="1"/>
  <c r="A169" i="15" s="1"/>
  <c r="A170" i="15" s="1"/>
  <c r="A171" i="15" s="1"/>
  <c r="A172" i="15" s="1"/>
  <c r="S157" i="15"/>
  <c r="G157" i="15"/>
  <c r="C157" i="15" s="1"/>
  <c r="E157" i="15"/>
  <c r="D157" i="15"/>
  <c r="G156" i="15"/>
  <c r="C156" i="15" s="1"/>
  <c r="D156" i="15"/>
  <c r="G155" i="15"/>
  <c r="C155" i="15" s="1"/>
  <c r="D155" i="15"/>
  <c r="G154" i="15"/>
  <c r="C154" i="15"/>
  <c r="F154" i="15"/>
  <c r="G153" i="15"/>
  <c r="C153" i="15" s="1"/>
  <c r="F153" i="15"/>
  <c r="K152" i="15"/>
  <c r="C152" i="15" s="1"/>
  <c r="E152" i="15"/>
  <c r="D152" i="15"/>
  <c r="G151" i="15"/>
  <c r="C151" i="15" s="1"/>
  <c r="D151" i="15"/>
  <c r="G150" i="15"/>
  <c r="C150" i="15" s="1"/>
  <c r="D150" i="15"/>
  <c r="K149" i="15"/>
  <c r="K148" i="15"/>
  <c r="C148" i="15" s="1"/>
  <c r="D148" i="15"/>
  <c r="K147" i="15"/>
  <c r="C147" i="15" s="1"/>
  <c r="D147" i="15"/>
  <c r="A147" i="15"/>
  <c r="A148" i="15" s="1"/>
  <c r="G146" i="15"/>
  <c r="C146" i="15" s="1"/>
  <c r="D146" i="15"/>
  <c r="G145" i="15"/>
  <c r="C145" i="15" s="1"/>
  <c r="D145" i="15"/>
  <c r="G144" i="15"/>
  <c r="C144" i="15" s="1"/>
  <c r="D144" i="15"/>
  <c r="G143" i="15"/>
  <c r="D143" i="15"/>
  <c r="G142" i="15"/>
  <c r="C142" i="15" s="1"/>
  <c r="D142" i="15"/>
  <c r="M141" i="15"/>
  <c r="M140" i="15" s="1"/>
  <c r="L141" i="15"/>
  <c r="J141" i="15"/>
  <c r="F141" i="15" s="1"/>
  <c r="H141" i="15"/>
  <c r="A141" i="15"/>
  <c r="A142" i="15" s="1"/>
  <c r="A143" i="15" s="1"/>
  <c r="A144" i="15" s="1"/>
  <c r="U140" i="15"/>
  <c r="T140" i="15"/>
  <c r="I140" i="15"/>
  <c r="S139" i="15"/>
  <c r="G139" i="15"/>
  <c r="E139" i="15"/>
  <c r="D139" i="15"/>
  <c r="S138" i="15"/>
  <c r="G138" i="15"/>
  <c r="E138" i="15"/>
  <c r="D138" i="15"/>
  <c r="G137" i="15"/>
  <c r="C137" i="15"/>
  <c r="D137" i="15"/>
  <c r="G136" i="15"/>
  <c r="C136" i="15" s="1"/>
  <c r="D136" i="15"/>
  <c r="D135" i="15"/>
  <c r="G134" i="15"/>
  <c r="D134" i="15"/>
  <c r="D133" i="15"/>
  <c r="G132" i="15"/>
  <c r="C132" i="15" s="1"/>
  <c r="D132" i="15"/>
  <c r="S131" i="15"/>
  <c r="G131" i="15"/>
  <c r="E131" i="15"/>
  <c r="D131" i="15"/>
  <c r="G130" i="15"/>
  <c r="C130" i="15" s="1"/>
  <c r="D130" i="15"/>
  <c r="G129" i="15"/>
  <c r="C129" i="15" s="1"/>
  <c r="E129" i="15"/>
  <c r="D129" i="15"/>
  <c r="S128" i="15"/>
  <c r="G128" i="15"/>
  <c r="E128" i="15"/>
  <c r="D128" i="15"/>
  <c r="S127" i="15"/>
  <c r="G127" i="15"/>
  <c r="E127" i="15"/>
  <c r="D127" i="15"/>
  <c r="G126" i="15"/>
  <c r="C126" i="15" s="1"/>
  <c r="E126" i="15"/>
  <c r="D126" i="15"/>
  <c r="S125" i="15"/>
  <c r="G125" i="15"/>
  <c r="C125" i="15"/>
  <c r="E125" i="15"/>
  <c r="D125" i="15"/>
  <c r="S124" i="15"/>
  <c r="G124" i="15"/>
  <c r="C124" i="15" s="1"/>
  <c r="E124" i="15"/>
  <c r="D124" i="15"/>
  <c r="A124" i="15"/>
  <c r="A125" i="15" s="1"/>
  <c r="A126" i="15" s="1"/>
  <c r="A127" i="15" s="1"/>
  <c r="A128" i="15" s="1"/>
  <c r="A129" i="15" s="1"/>
  <c r="A130" i="15" s="1"/>
  <c r="A131" i="15" s="1"/>
  <c r="A132" i="15" s="1"/>
  <c r="A133" i="15" s="1"/>
  <c r="A134" i="15" s="1"/>
  <c r="A135" i="15" s="1"/>
  <c r="A136" i="15" s="1"/>
  <c r="A137" i="15" s="1"/>
  <c r="S123" i="15"/>
  <c r="G123" i="15"/>
  <c r="E123" i="15"/>
  <c r="D123" i="15"/>
  <c r="S122" i="15"/>
  <c r="G122" i="15"/>
  <c r="E122" i="15"/>
  <c r="D122" i="15"/>
  <c r="G121" i="15"/>
  <c r="C121" i="15" s="1"/>
  <c r="D121" i="15"/>
  <c r="G120" i="15"/>
  <c r="C120" i="15" s="1"/>
  <c r="D120" i="15"/>
  <c r="G119" i="15"/>
  <c r="C119" i="15" s="1"/>
  <c r="D119" i="15"/>
  <c r="G118" i="15"/>
  <c r="D118" i="15"/>
  <c r="C118" i="15"/>
  <c r="S117" i="15"/>
  <c r="G117" i="15"/>
  <c r="C117" i="15" s="1"/>
  <c r="E117" i="15"/>
  <c r="D117" i="15"/>
  <c r="G116" i="15"/>
  <c r="D116" i="15"/>
  <c r="C116" i="15"/>
  <c r="G115" i="15"/>
  <c r="C115" i="15" s="1"/>
  <c r="D115" i="15"/>
  <c r="S114" i="15"/>
  <c r="G114" i="15"/>
  <c r="F114" i="15"/>
  <c r="E114" i="15"/>
  <c r="D114" i="15"/>
  <c r="C114" i="15"/>
  <c r="G113" i="15"/>
  <c r="C113" i="15" s="1"/>
  <c r="D113" i="15"/>
  <c r="G112" i="15"/>
  <c r="C112" i="15" s="1"/>
  <c r="D112" i="15"/>
  <c r="S111" i="15"/>
  <c r="G111" i="15"/>
  <c r="F111" i="15"/>
  <c r="E111" i="15"/>
  <c r="D111" i="15"/>
  <c r="G110" i="15"/>
  <c r="D110" i="15"/>
  <c r="C110" i="15"/>
  <c r="G109" i="15"/>
  <c r="C109" i="15" s="1"/>
  <c r="D109" i="15"/>
  <c r="G108" i="15"/>
  <c r="C108" i="15" s="1"/>
  <c r="D108" i="15"/>
  <c r="G107" i="15"/>
  <c r="C107" i="15"/>
  <c r="D107" i="15"/>
  <c r="G106" i="15"/>
  <c r="C106" i="15" s="1"/>
  <c r="D106" i="15"/>
  <c r="G105" i="15"/>
  <c r="D105" i="15"/>
  <c r="G104" i="15"/>
  <c r="C104" i="15"/>
  <c r="D104" i="15"/>
  <c r="A104" i="15"/>
  <c r="G103" i="15"/>
  <c r="C103" i="15"/>
  <c r="D103" i="15"/>
  <c r="G102" i="15"/>
  <c r="C102" i="15" s="1"/>
  <c r="D102" i="15"/>
  <c r="G101" i="15"/>
  <c r="D101" i="15"/>
  <c r="C101" i="15"/>
  <c r="H100" i="15"/>
  <c r="H99" i="15"/>
  <c r="V99" i="15"/>
  <c r="F99" i="15" s="1"/>
  <c r="U99" i="15"/>
  <c r="T99" i="15"/>
  <c r="I99" i="15"/>
  <c r="G98" i="15"/>
  <c r="C98" i="15" s="1"/>
  <c r="D98" i="15"/>
  <c r="A98" i="15"/>
  <c r="A99" i="15" s="1"/>
  <c r="A100" i="15" s="1"/>
  <c r="A101" i="15" s="1"/>
  <c r="A102" i="15" s="1"/>
  <c r="G97" i="15"/>
  <c r="C97" i="15" s="1"/>
  <c r="D97" i="15"/>
  <c r="G96" i="15"/>
  <c r="C96" i="15" s="1"/>
  <c r="E96" i="15"/>
  <c r="D96" i="15"/>
  <c r="G95" i="15"/>
  <c r="C95" i="15" s="1"/>
  <c r="E95" i="15"/>
  <c r="D95" i="15"/>
  <c r="G94" i="15"/>
  <c r="C94" i="15" s="1"/>
  <c r="E94" i="15"/>
  <c r="D94" i="15"/>
  <c r="A94" i="15"/>
  <c r="A95" i="15" s="1"/>
  <c r="A96" i="15" s="1"/>
  <c r="G93" i="15"/>
  <c r="C93" i="15"/>
  <c r="E93" i="15"/>
  <c r="D93" i="15"/>
  <c r="G92" i="15"/>
  <c r="C92" i="15"/>
  <c r="E92" i="15"/>
  <c r="D92" i="15"/>
  <c r="G91" i="15"/>
  <c r="C91" i="15" s="1"/>
  <c r="E91" i="15"/>
  <c r="D91" i="15"/>
  <c r="G90" i="15"/>
  <c r="C90" i="15" s="1"/>
  <c r="D90" i="15"/>
  <c r="O89" i="15"/>
  <c r="G89" i="15"/>
  <c r="C89" i="15" s="1"/>
  <c r="F89" i="15"/>
  <c r="E89" i="15"/>
  <c r="D89" i="15"/>
  <c r="S88" i="15"/>
  <c r="O88" i="15"/>
  <c r="G88" i="15"/>
  <c r="C88" i="15" s="1"/>
  <c r="E88" i="15"/>
  <c r="D88" i="15"/>
  <c r="S87" i="15"/>
  <c r="O87" i="15"/>
  <c r="G87" i="15"/>
  <c r="E87" i="15"/>
  <c r="D87" i="15"/>
  <c r="A87" i="15"/>
  <c r="S86" i="15"/>
  <c r="O86" i="15"/>
  <c r="G86" i="15"/>
  <c r="E86" i="15"/>
  <c r="D86" i="15"/>
  <c r="S85" i="15"/>
  <c r="G85" i="15"/>
  <c r="E85" i="15"/>
  <c r="D85" i="15"/>
  <c r="S84" i="15"/>
  <c r="O84" i="15"/>
  <c r="G84" i="15"/>
  <c r="C84" i="15" s="1"/>
  <c r="E84" i="15"/>
  <c r="D84" i="15"/>
  <c r="A84" i="15"/>
  <c r="A85" i="15"/>
  <c r="S83" i="15"/>
  <c r="O83" i="15"/>
  <c r="G83" i="15"/>
  <c r="E83" i="15"/>
  <c r="D83" i="15"/>
  <c r="S82" i="15"/>
  <c r="O82" i="15"/>
  <c r="K82" i="15"/>
  <c r="G82" i="15"/>
  <c r="E82" i="15"/>
  <c r="D82" i="15"/>
  <c r="S81" i="15"/>
  <c r="O81" i="15"/>
  <c r="G81" i="15"/>
  <c r="E81" i="15"/>
  <c r="D81" i="15"/>
  <c r="S80" i="15"/>
  <c r="G80" i="15"/>
  <c r="E80" i="15"/>
  <c r="D80" i="15"/>
  <c r="S79" i="15"/>
  <c r="O79" i="15"/>
  <c r="G79" i="15"/>
  <c r="E79" i="15"/>
  <c r="D79" i="15"/>
  <c r="A79" i="15"/>
  <c r="A80" i="15" s="1"/>
  <c r="A81" i="15" s="1"/>
  <c r="A82" i="15" s="1"/>
  <c r="S78" i="15"/>
  <c r="G78" i="15"/>
  <c r="E78" i="15"/>
  <c r="D78" i="15"/>
  <c r="S77" i="15"/>
  <c r="O77" i="15"/>
  <c r="G77" i="15"/>
  <c r="E77" i="15"/>
  <c r="D77" i="15"/>
  <c r="S76" i="15"/>
  <c r="O76" i="15"/>
  <c r="G76" i="15"/>
  <c r="E76" i="15"/>
  <c r="D76" i="15"/>
  <c r="S75" i="15"/>
  <c r="O75" i="15"/>
  <c r="G75" i="15"/>
  <c r="E75" i="15"/>
  <c r="D75" i="15"/>
  <c r="S74" i="15"/>
  <c r="G74" i="15"/>
  <c r="E74" i="15"/>
  <c r="D74" i="15"/>
  <c r="S73" i="15"/>
  <c r="O73" i="15"/>
  <c r="G73" i="15"/>
  <c r="E73" i="15"/>
  <c r="D73" i="15"/>
  <c r="A73" i="15"/>
  <c r="A74" i="15" s="1"/>
  <c r="A75" i="15" s="1"/>
  <c r="A76" i="15" s="1"/>
  <c r="A77" i="15" s="1"/>
  <c r="S72" i="15"/>
  <c r="O72" i="15"/>
  <c r="E72" i="15"/>
  <c r="D72" i="15"/>
  <c r="S71" i="15"/>
  <c r="G71" i="15"/>
  <c r="C71" i="15" s="1"/>
  <c r="F71" i="15"/>
  <c r="E71" i="15"/>
  <c r="D71" i="15"/>
  <c r="S70" i="15"/>
  <c r="O70" i="15"/>
  <c r="G70" i="15"/>
  <c r="C70" i="15" s="1"/>
  <c r="F70" i="15"/>
  <c r="E70" i="15"/>
  <c r="D70" i="15"/>
  <c r="S69" i="15"/>
  <c r="O69" i="15"/>
  <c r="G69" i="15"/>
  <c r="E69" i="15"/>
  <c r="D69" i="15"/>
  <c r="O68" i="15"/>
  <c r="K68" i="15"/>
  <c r="E68" i="15"/>
  <c r="D68" i="15"/>
  <c r="S67" i="15"/>
  <c r="O67" i="15"/>
  <c r="E67" i="15"/>
  <c r="D67" i="15"/>
  <c r="A67" i="15"/>
  <c r="S66" i="15"/>
  <c r="O66" i="15"/>
  <c r="G66" i="15"/>
  <c r="E66" i="15"/>
  <c r="D66" i="15"/>
  <c r="S65" i="15"/>
  <c r="O65" i="15"/>
  <c r="G65" i="15"/>
  <c r="E65" i="15"/>
  <c r="D65" i="15"/>
  <c r="S64" i="15"/>
  <c r="O64" i="15"/>
  <c r="G64" i="15"/>
  <c r="E64" i="15"/>
  <c r="D64" i="15"/>
  <c r="A64" i="15"/>
  <c r="A65" i="15" s="1"/>
  <c r="S63" i="15"/>
  <c r="O63" i="15"/>
  <c r="G63" i="15"/>
  <c r="C63" i="15" s="1"/>
  <c r="E63" i="15"/>
  <c r="D63" i="15"/>
  <c r="O62" i="15"/>
  <c r="G62" i="15"/>
  <c r="C62" i="15" s="1"/>
  <c r="E62" i="15"/>
  <c r="D62" i="15"/>
  <c r="O61" i="15"/>
  <c r="G61" i="15"/>
  <c r="E61" i="15"/>
  <c r="D61" i="15"/>
  <c r="S60" i="15"/>
  <c r="O60" i="15"/>
  <c r="G60" i="15"/>
  <c r="E60" i="15"/>
  <c r="D60" i="15"/>
  <c r="S59" i="15"/>
  <c r="O59" i="15"/>
  <c r="G59" i="15"/>
  <c r="E59" i="15"/>
  <c r="D59" i="15"/>
  <c r="S58" i="15"/>
  <c r="O58" i="15"/>
  <c r="G58" i="15"/>
  <c r="E58" i="15"/>
  <c r="D58" i="15"/>
  <c r="S57" i="15"/>
  <c r="O57" i="15"/>
  <c r="G57" i="15"/>
  <c r="E57" i="15"/>
  <c r="D57" i="15"/>
  <c r="S56" i="15"/>
  <c r="O56" i="15"/>
  <c r="G56" i="15"/>
  <c r="C56" i="15" s="1"/>
  <c r="E56" i="15"/>
  <c r="D56" i="15"/>
  <c r="A56" i="15"/>
  <c r="A57" i="15"/>
  <c r="A58" i="15" s="1"/>
  <c r="A59" i="15" s="1"/>
  <c r="A60" i="15" s="1"/>
  <c r="A61" i="15" s="1"/>
  <c r="A62" i="15" s="1"/>
  <c r="S55" i="15"/>
  <c r="O55" i="15"/>
  <c r="G55" i="15"/>
  <c r="C55" i="15" s="1"/>
  <c r="E55" i="15"/>
  <c r="D55" i="15"/>
  <c r="G54" i="15"/>
  <c r="C54" i="15" s="1"/>
  <c r="D54" i="15"/>
  <c r="G53" i="15"/>
  <c r="C53" i="15" s="1"/>
  <c r="E53" i="15"/>
  <c r="D53" i="15"/>
  <c r="O52" i="15"/>
  <c r="G52" i="15"/>
  <c r="E52" i="15"/>
  <c r="D52" i="15"/>
  <c r="G51" i="15"/>
  <c r="C51" i="15" s="1"/>
  <c r="D51" i="15"/>
  <c r="G50" i="15"/>
  <c r="D50" i="15"/>
  <c r="C50" i="15"/>
  <c r="A50" i="15"/>
  <c r="G49" i="15"/>
  <c r="D49" i="15"/>
  <c r="C49" i="15"/>
  <c r="G48" i="15"/>
  <c r="C48" i="15"/>
  <c r="D48" i="15"/>
  <c r="K47" i="15"/>
  <c r="C47" i="15" s="1"/>
  <c r="D47" i="15"/>
  <c r="O46" i="15"/>
  <c r="D46" i="15" s="1"/>
  <c r="C46" i="15" s="1"/>
  <c r="E46" i="15"/>
  <c r="Q45" i="15"/>
  <c r="Q44" i="15" s="1"/>
  <c r="Q208" i="15" s="1"/>
  <c r="P45" i="15"/>
  <c r="P44" i="15"/>
  <c r="P208" i="15" s="1"/>
  <c r="O45" i="15"/>
  <c r="L45" i="15"/>
  <c r="L44" i="15" s="1"/>
  <c r="I45" i="15"/>
  <c r="H45" i="15"/>
  <c r="A45" i="15"/>
  <c r="V44" i="15"/>
  <c r="V208" i="15" s="1"/>
  <c r="U44" i="15"/>
  <c r="T44" i="15"/>
  <c r="M44" i="15"/>
  <c r="J44" i="15"/>
  <c r="F44" i="15" s="1"/>
  <c r="I44" i="15"/>
  <c r="S43" i="15"/>
  <c r="K43" i="15"/>
  <c r="G43" i="15"/>
  <c r="E43" i="15"/>
  <c r="D43" i="15"/>
  <c r="S42" i="15"/>
  <c r="K42" i="15"/>
  <c r="G42" i="15"/>
  <c r="E42" i="15"/>
  <c r="D42" i="15"/>
  <c r="S41" i="15"/>
  <c r="K41" i="15"/>
  <c r="G41" i="15"/>
  <c r="C41" i="15" s="1"/>
  <c r="E41" i="15"/>
  <c r="D41" i="15"/>
  <c r="S40" i="15"/>
  <c r="K40" i="15"/>
  <c r="G40" i="15"/>
  <c r="E40" i="15"/>
  <c r="D40" i="15"/>
  <c r="S39" i="15"/>
  <c r="K39" i="15"/>
  <c r="G39" i="15"/>
  <c r="E39" i="15"/>
  <c r="D39" i="15"/>
  <c r="S38" i="15"/>
  <c r="K38" i="15"/>
  <c r="G38" i="15"/>
  <c r="E38" i="15"/>
  <c r="D38" i="15"/>
  <c r="S37" i="15"/>
  <c r="K37" i="15"/>
  <c r="G37" i="15"/>
  <c r="C37" i="15" s="1"/>
  <c r="E37" i="15"/>
  <c r="D37" i="15"/>
  <c r="S36" i="15"/>
  <c r="K36" i="15"/>
  <c r="G36" i="15"/>
  <c r="E36" i="15"/>
  <c r="D36" i="15"/>
  <c r="S35" i="15"/>
  <c r="K35" i="15"/>
  <c r="G35" i="15"/>
  <c r="E35" i="15"/>
  <c r="D35" i="15"/>
  <c r="A35" i="15"/>
  <c r="A36" i="15" s="1"/>
  <c r="A37" i="15" s="1"/>
  <c r="A38" i="15" s="1"/>
  <c r="A39" i="15" s="1"/>
  <c r="A40" i="15" s="1"/>
  <c r="A41" i="15" s="1"/>
  <c r="A42" i="15" s="1"/>
  <c r="A43" i="15" s="1"/>
  <c r="S34" i="15"/>
  <c r="K34" i="15"/>
  <c r="G34" i="15"/>
  <c r="E34" i="15"/>
  <c r="D34" i="15"/>
  <c r="K33" i="15"/>
  <c r="G33" i="15"/>
  <c r="E33" i="15"/>
  <c r="D33" i="15"/>
  <c r="G32" i="15"/>
  <c r="C32" i="15" s="1"/>
  <c r="D32" i="15"/>
  <c r="H31" i="15"/>
  <c r="D31" i="15" s="1"/>
  <c r="G30" i="15"/>
  <c r="C30" i="15"/>
  <c r="D30" i="15"/>
  <c r="G29" i="15"/>
  <c r="G28" i="15" s="1"/>
  <c r="C28" i="15" s="1"/>
  <c r="D29" i="15"/>
  <c r="H28" i="15"/>
  <c r="D28" i="15" s="1"/>
  <c r="A28" i="15"/>
  <c r="A29" i="15" s="1"/>
  <c r="A30" i="15" s="1"/>
  <c r="A31" i="15" s="1"/>
  <c r="A32" i="15" s="1"/>
  <c r="G27" i="15"/>
  <c r="D27" i="15"/>
  <c r="C27" i="15"/>
  <c r="G26" i="15"/>
  <c r="C26" i="15" s="1"/>
  <c r="D26" i="15"/>
  <c r="H25" i="15"/>
  <c r="D25" i="15" s="1"/>
  <c r="G24" i="15"/>
  <c r="C24" i="15" s="1"/>
  <c r="E24" i="15"/>
  <c r="D24" i="15"/>
  <c r="I23" i="15"/>
  <c r="E23" i="15" s="1"/>
  <c r="H23" i="15"/>
  <c r="S22" i="15"/>
  <c r="D22" i="15"/>
  <c r="C22" i="15"/>
  <c r="G21" i="15"/>
  <c r="C21" i="15" s="1"/>
  <c r="D21" i="15"/>
  <c r="T20" i="15"/>
  <c r="T9" i="15" s="1"/>
  <c r="S20" i="15"/>
  <c r="H20" i="15"/>
  <c r="G20" i="15" s="1"/>
  <c r="C20" i="15" s="1"/>
  <c r="K19" i="15"/>
  <c r="D19" i="15"/>
  <c r="L18" i="15"/>
  <c r="D18" i="15" s="1"/>
  <c r="G17" i="15"/>
  <c r="C17" i="15"/>
  <c r="E17" i="15"/>
  <c r="D17" i="15"/>
  <c r="G16" i="15"/>
  <c r="C16" i="15" s="1"/>
  <c r="D16" i="15"/>
  <c r="A16" i="15"/>
  <c r="G15" i="15"/>
  <c r="C15" i="15" s="1"/>
  <c r="D15" i="15"/>
  <c r="K14" i="15"/>
  <c r="K13" i="15" s="1"/>
  <c r="G14" i="15"/>
  <c r="F14" i="15"/>
  <c r="F13" i="15" s="1"/>
  <c r="E14" i="15"/>
  <c r="E13" i="15" s="1"/>
  <c r="D14" i="15"/>
  <c r="A14" i="15"/>
  <c r="M13" i="15"/>
  <c r="M9" i="15" s="1"/>
  <c r="L13" i="15"/>
  <c r="J13" i="15"/>
  <c r="J9" i="15" s="1"/>
  <c r="I13" i="15"/>
  <c r="H13" i="15"/>
  <c r="G12" i="15"/>
  <c r="C12" i="15" s="1"/>
  <c r="E12" i="15"/>
  <c r="D12" i="15"/>
  <c r="G11" i="15"/>
  <c r="C11" i="15" s="1"/>
  <c r="E11" i="15"/>
  <c r="D11" i="15"/>
  <c r="I10" i="15"/>
  <c r="E10" i="15" s="1"/>
  <c r="H10" i="15"/>
  <c r="D10" i="15" s="1"/>
  <c r="U9" i="15"/>
  <c r="T208" i="15"/>
  <c r="F177" i="15"/>
  <c r="C139" i="15"/>
  <c r="E99" i="15"/>
  <c r="C74" i="15"/>
  <c r="K45" i="15"/>
  <c r="K44" i="15" s="1"/>
  <c r="C73" i="15"/>
  <c r="D206" i="15"/>
  <c r="D203" i="15"/>
  <c r="C202" i="15"/>
  <c r="D198" i="15"/>
  <c r="C186" i="15"/>
  <c r="H175" i="15"/>
  <c r="N176" i="15"/>
  <c r="N175" i="15" s="1"/>
  <c r="N208" i="15" s="1"/>
  <c r="L175" i="15"/>
  <c r="G176" i="15"/>
  <c r="D176" i="15"/>
  <c r="C166" i="15"/>
  <c r="G170" i="15"/>
  <c r="C170" i="15" s="1"/>
  <c r="H140" i="15"/>
  <c r="C127" i="15"/>
  <c r="D100" i="15"/>
  <c r="C57" i="15"/>
  <c r="C83" i="15"/>
  <c r="G45" i="15"/>
  <c r="C36" i="15"/>
  <c r="C34" i="15"/>
  <c r="H9" i="15"/>
  <c r="C29" i="15"/>
  <c r="C143" i="15"/>
  <c r="L9" i="15"/>
  <c r="K141" i="15"/>
  <c r="K140" i="15" s="1"/>
  <c r="H197" i="15"/>
  <c r="C39" i="15"/>
  <c r="C199" i="15"/>
  <c r="J140" i="15"/>
  <c r="G197" i="15"/>
  <c r="G13" i="15"/>
  <c r="S9" i="15"/>
  <c r="S175" i="15"/>
  <c r="K197" i="15"/>
  <c r="D197" i="15"/>
  <c r="F140" i="15"/>
  <c r="I146" i="14" l="1"/>
  <c r="E54" i="14"/>
  <c r="E146" i="14"/>
  <c r="E140" i="15"/>
  <c r="G10" i="15"/>
  <c r="C10" i="15" s="1"/>
  <c r="C177" i="15"/>
  <c r="M208" i="15"/>
  <c r="D20" i="15"/>
  <c r="C75" i="15"/>
  <c r="C13" i="15"/>
  <c r="C14" i="15"/>
  <c r="C43" i="15"/>
  <c r="C52" i="15"/>
  <c r="C59" i="15"/>
  <c r="C68" i="15"/>
  <c r="C80" i="15"/>
  <c r="C131" i="15"/>
  <c r="C189" i="15"/>
  <c r="K200" i="15"/>
  <c r="C200" i="15" s="1"/>
  <c r="D13" i="15"/>
  <c r="C33" i="15"/>
  <c r="C66" i="15"/>
  <c r="C76" i="15"/>
  <c r="C82" i="15"/>
  <c r="D99" i="15"/>
  <c r="G23" i="15"/>
  <c r="C23" i="15" s="1"/>
  <c r="D23" i="15"/>
  <c r="C77" i="15"/>
  <c r="C38" i="15"/>
  <c r="C40" i="15"/>
  <c r="C58" i="15"/>
  <c r="C65" i="15"/>
  <c r="C81" i="15"/>
  <c r="S140" i="15"/>
  <c r="G25" i="15"/>
  <c r="C25" i="15" s="1"/>
  <c r="C42" i="15"/>
  <c r="U208" i="15"/>
  <c r="E45" i="15"/>
  <c r="C60" i="15"/>
  <c r="C61" i="15"/>
  <c r="C64" i="15"/>
  <c r="C67" i="15"/>
  <c r="C69" i="15"/>
  <c r="C72" i="15"/>
  <c r="C78" i="15"/>
  <c r="C79" i="15"/>
  <c r="C85" i="15"/>
  <c r="C86" i="15"/>
  <c r="C87" i="15"/>
  <c r="C111" i="15"/>
  <c r="C122" i="15"/>
  <c r="C123" i="15"/>
  <c r="C128" i="15"/>
  <c r="D141" i="15"/>
  <c r="C174" i="15"/>
  <c r="O44" i="15"/>
  <c r="O208" i="15" s="1"/>
  <c r="C105" i="15"/>
  <c r="G100" i="15"/>
  <c r="C134" i="15"/>
  <c r="G133" i="15"/>
  <c r="C133" i="15" s="1"/>
  <c r="D9" i="15"/>
  <c r="S44" i="15"/>
  <c r="J208" i="15"/>
  <c r="F208" i="15" s="1"/>
  <c r="C45" i="15"/>
  <c r="G44" i="15"/>
  <c r="C44" i="15" s="1"/>
  <c r="K18" i="15"/>
  <c r="C18" i="15" s="1"/>
  <c r="C19" i="15"/>
  <c r="I9" i="15"/>
  <c r="C35" i="15"/>
  <c r="H44" i="15"/>
  <c r="D44" i="15" s="1"/>
  <c r="D45" i="15"/>
  <c r="G141" i="15"/>
  <c r="D175" i="15"/>
  <c r="E175" i="15"/>
  <c r="C197" i="15"/>
  <c r="G135" i="15"/>
  <c r="C135" i="15" s="1"/>
  <c r="G175" i="15"/>
  <c r="K176" i="15"/>
  <c r="K175" i="15" s="1"/>
  <c r="F176" i="15"/>
  <c r="F175" i="15" s="1"/>
  <c r="F9" i="15"/>
  <c r="K9" i="15"/>
  <c r="K208" i="15" s="1"/>
  <c r="G31" i="15"/>
  <c r="E44" i="15"/>
  <c r="S99" i="15"/>
  <c r="C138" i="15"/>
  <c r="L140" i="15"/>
  <c r="D200" i="15"/>
  <c r="I176" i="14" l="1"/>
  <c r="G176" i="14"/>
  <c r="S208" i="15"/>
  <c r="C176" i="15"/>
  <c r="C175" i="15" s="1"/>
  <c r="H208" i="15"/>
  <c r="D140" i="15"/>
  <c r="L208" i="15"/>
  <c r="D208" i="15" s="1"/>
  <c r="C31" i="15"/>
  <c r="G9" i="15"/>
  <c r="G140" i="15"/>
  <c r="C140" i="15" s="1"/>
  <c r="C141" i="15"/>
  <c r="I208" i="15"/>
  <c r="E208" i="15" s="1"/>
  <c r="E9" i="15"/>
  <c r="C100" i="15"/>
  <c r="G99" i="15"/>
  <c r="C99" i="15" s="1"/>
  <c r="C9" i="15" l="1"/>
  <c r="G208" i="15"/>
  <c r="C208" i="15" s="1"/>
  <c r="F176" i="14" l="1"/>
  <c r="E176" i="14" s="1"/>
</calcChain>
</file>

<file path=xl/sharedStrings.xml><?xml version="1.0" encoding="utf-8"?>
<sst xmlns="http://schemas.openxmlformats.org/spreadsheetml/2006/main" count="1268" uniqueCount="767">
  <si>
    <t>Eil.Nr.</t>
  </si>
  <si>
    <t>Priešgaisrinė tarnyba</t>
  </si>
  <si>
    <t>Socialinė parama mokiniams</t>
  </si>
  <si>
    <t>Kultūros centras</t>
  </si>
  <si>
    <t>Krašto muziejus</t>
  </si>
  <si>
    <t>Kūno kultūros ir sporto centras</t>
  </si>
  <si>
    <t>Visuomenės sveikatos biuras</t>
  </si>
  <si>
    <t>Juodupės seniūnija</t>
  </si>
  <si>
    <t>Jūžintų seniūnija</t>
  </si>
  <si>
    <t>Kamajų seniūnija</t>
  </si>
  <si>
    <t>Kazliškio seniūnija</t>
  </si>
  <si>
    <t>Kriaunų seniūnija</t>
  </si>
  <si>
    <t>Obelių seniūnija</t>
  </si>
  <si>
    <t>Pandėlio seniūnija</t>
  </si>
  <si>
    <t>Panemunėlio seniūnija</t>
  </si>
  <si>
    <t>Rokiškio miesto seniūnija</t>
  </si>
  <si>
    <t>Juodupės l/d</t>
  </si>
  <si>
    <t>Senamiesčio progimnazija</t>
  </si>
  <si>
    <t>J.Tumo-Vaižganto gimnazija</t>
  </si>
  <si>
    <t>Juodupės gimnazija</t>
  </si>
  <si>
    <t>Kamajų A.Strazdo gimnazija</t>
  </si>
  <si>
    <t>Obelių gimnazija</t>
  </si>
  <si>
    <t>Švietimo centras</t>
  </si>
  <si>
    <t xml:space="preserve">Rokiškio rajono savivaldybės tarybos </t>
  </si>
  <si>
    <t>Administracija</t>
  </si>
  <si>
    <t>Socialinės paramos centras</t>
  </si>
  <si>
    <t>Rokiškio kaimiškoji seniūnija</t>
  </si>
  <si>
    <t>L/d Nykštukas</t>
  </si>
  <si>
    <t>L/d Pumpurėlis</t>
  </si>
  <si>
    <t>Kriaunų pagrindinė m-kla</t>
  </si>
  <si>
    <t>Choreografijos mokykla</t>
  </si>
  <si>
    <t>Turizmo ir tradicinių amatų informacijos ir koordinavimo centras</t>
  </si>
  <si>
    <t>Rokiškio pagrindinė mokykla</t>
  </si>
  <si>
    <t>Turto valdymo ir viešųjų pirkimų skyrius</t>
  </si>
  <si>
    <t>L/d Varpelis</t>
  </si>
  <si>
    <t>Suaugusiųjų ir jaunimo mokymo centras</t>
  </si>
  <si>
    <t>IŠ VISO:</t>
  </si>
  <si>
    <t xml:space="preserve">                                                                                      ROKIŠKIO RAJONO SAVIVALDYBĖS 2016 METŲ BIUDŽETAS</t>
  </si>
  <si>
    <t>4 priedas</t>
  </si>
  <si>
    <t>Programos/asignavimų valdytojo pavadinimas</t>
  </si>
  <si>
    <t>Iš viso</t>
  </si>
  <si>
    <t>iš jų:</t>
  </si>
  <si>
    <t>Iš viso SF*</t>
  </si>
  <si>
    <t>Iš viso MK*</t>
  </si>
  <si>
    <t>Iš viso SP PR*</t>
  </si>
  <si>
    <t>išlaidoms</t>
  </si>
  <si>
    <t>turtui įsigyti</t>
  </si>
  <si>
    <t>iš jų: darbo užmokesčiui</t>
  </si>
  <si>
    <t>Savivaldybės taryba</t>
  </si>
  <si>
    <t>Mero ir vicemero darbo apmokėjimas</t>
  </si>
  <si>
    <t>Tarybos narių darbo apmokėjimas</t>
  </si>
  <si>
    <t>Savivaldybės kitos išlaidos</t>
  </si>
  <si>
    <t>Darbo politikos formavimas ir įgyvendinimas</t>
  </si>
  <si>
    <t xml:space="preserve">Kontrolės ir audito tarnyba </t>
  </si>
  <si>
    <t>Socialinė parama</t>
  </si>
  <si>
    <t>Slauga pagal socialines indikacijas</t>
  </si>
  <si>
    <t>Socialinės paramos mokiniams administravimas</t>
  </si>
  <si>
    <t>Asmenų su sunkia negalia socialinė globa</t>
  </si>
  <si>
    <t>Kompensacijos už šildymą ir vandenį</t>
  </si>
  <si>
    <t>VšĮ Rokiškio PASPC moterų konsultacijos kabinetų įrangai</t>
  </si>
  <si>
    <t>Tarptautinis bendradarbiavimas</t>
  </si>
  <si>
    <t>Nevyriausybinių organizac. projektų finansavimas</t>
  </si>
  <si>
    <t>Nekilnojamo turto įregistravimas</t>
  </si>
  <si>
    <t>Nuostolingų maršrutų išlaidų kompensavimas</t>
  </si>
  <si>
    <t>Kompensacijos už liftų naudojimą</t>
  </si>
  <si>
    <t>Nekilnojamo turto nuomos specialioji programa</t>
  </si>
  <si>
    <t>Kapitalo investicijos ir ilgalaikio turto remontas</t>
  </si>
  <si>
    <t>Subsidijos gamintojams už šiluminę energiją</t>
  </si>
  <si>
    <t>Europos ir kitų fondų projektams dalinai finansuoti</t>
  </si>
  <si>
    <t>Investiciniams projektams, galimybių studijoms ir kitiems dokumentams rengti</t>
  </si>
  <si>
    <t>Smulkaus ir vidutinio verslo plėtros programa</t>
  </si>
  <si>
    <t>Laisvės kovų įamžinimo komisijos veikla</t>
  </si>
  <si>
    <t>Aplinkos apsaugos rėmimo specialioji programa</t>
  </si>
  <si>
    <t>Vaikų ir jaunimo socializacijos programa</t>
  </si>
  <si>
    <t>Neformaliojo vaikų švietimo programoms</t>
  </si>
  <si>
    <t>Suaugusiųjų neformalaus ugdymo programoms</t>
  </si>
  <si>
    <t>Pedagoginė grupė</t>
  </si>
  <si>
    <t>iš to sk.: L.Šepkos konkurso premijoms</t>
  </si>
  <si>
    <t xml:space="preserve">             Tyzenhauzų paveldo tyrimams</t>
  </si>
  <si>
    <t xml:space="preserve">Kūno kultūros ir sporto centras  </t>
  </si>
  <si>
    <t xml:space="preserve">              Europos paplūdimio tinklinio turnyrui</t>
  </si>
  <si>
    <t xml:space="preserve">              Lietuvos automobilių Ralio čempionato 4 etapo varžyboms</t>
  </si>
  <si>
    <t xml:space="preserve">Pandėlio seniūnija                     </t>
  </si>
  <si>
    <t>M/d Ąžuoliukas</t>
  </si>
  <si>
    <t>Obelių l/d</t>
  </si>
  <si>
    <t>Kavoliškio m/d</t>
  </si>
  <si>
    <t>Pandėlio prad.m-kla</t>
  </si>
  <si>
    <t>Senamiesčio progimnazijos Laibgalių sk.</t>
  </si>
  <si>
    <t>VŠĮ Rokiškio psich. ligon. sk.</t>
  </si>
  <si>
    <t>Panemunėlio pagrindinė m-kla</t>
  </si>
  <si>
    <t>Juozo Tūbelio progimnazija</t>
  </si>
  <si>
    <t>Jūžintų J.O.Širvydo pagrindinė m-kla</t>
  </si>
  <si>
    <t xml:space="preserve">Pandėlio gimnazija </t>
  </si>
  <si>
    <t>Rudolfo Lymano muzikos mokykla</t>
  </si>
  <si>
    <t>Pandėlio universalus daugiafunkcis centras</t>
  </si>
  <si>
    <r>
      <t xml:space="preserve">SF* - </t>
    </r>
    <r>
      <rPr>
        <sz val="10"/>
        <rFont val="Arial"/>
        <family val="2"/>
        <charset val="186"/>
      </rPr>
      <t>savarankiška funkcija</t>
    </r>
  </si>
  <si>
    <r>
      <t xml:space="preserve">SP PR* - </t>
    </r>
    <r>
      <rPr>
        <sz val="10"/>
        <rFont val="Arial"/>
        <family val="2"/>
        <charset val="186"/>
      </rPr>
      <t>specialioji programa</t>
    </r>
  </si>
  <si>
    <t>ASIGNAVIMAI  PAGAL PROGRAMAS</t>
  </si>
  <si>
    <t>5 priedas</t>
  </si>
  <si>
    <t>tūkst.eurų</t>
  </si>
  <si>
    <t>SAVIVALDYBĖS FUNKCIJŲ ĮGYVENDINIMAS IR VALDYMAS (01)</t>
  </si>
  <si>
    <t>Savivaldybės administracija</t>
  </si>
  <si>
    <t xml:space="preserve">   administracija</t>
  </si>
  <si>
    <t xml:space="preserve">   administracijos direktoriaus rezervas</t>
  </si>
  <si>
    <t xml:space="preserve">   savivaldybės kitos išlaidos</t>
  </si>
  <si>
    <t>Kontrolės ir audito tarnyba</t>
  </si>
  <si>
    <t>Socialinės paramos ir sveikatos skyrius</t>
  </si>
  <si>
    <t xml:space="preserve">  socialinės paramos mokiniams administravimas</t>
  </si>
  <si>
    <t xml:space="preserve">   nekilnojamojo turto įregistravimas</t>
  </si>
  <si>
    <t xml:space="preserve">   nekilnojamo turto nuomos specialioji programa</t>
  </si>
  <si>
    <t>Statybos ir  infrastruktūros skyrius</t>
  </si>
  <si>
    <t xml:space="preserve">   projektų administravimas</t>
  </si>
  <si>
    <t>Strateginio planavimo ir investicijų skyrius</t>
  </si>
  <si>
    <t xml:space="preserve">  Europos ir kitų fondų projektams dalinai finansuoti</t>
  </si>
  <si>
    <t xml:space="preserve">  invest.projektams,galimybių studijoms ir kitiems dokumentams rengti</t>
  </si>
  <si>
    <t>Architektūros ir paveldosaugos skyrius</t>
  </si>
  <si>
    <r>
      <t xml:space="preserve">  </t>
    </r>
    <r>
      <rPr>
        <i/>
        <sz val="9"/>
        <rFont val="Arial"/>
        <family val="2"/>
        <charset val="186"/>
      </rPr>
      <t>paveldosaugos komisijos veiklos programa</t>
    </r>
  </si>
  <si>
    <t xml:space="preserve">  laisvės kovų įamžinimo komisijos veikla</t>
  </si>
  <si>
    <t>Finansų skyrius</t>
  </si>
  <si>
    <r>
      <t xml:space="preserve">   paskolų aptarnavimas</t>
    </r>
    <r>
      <rPr>
        <sz val="10"/>
        <rFont val="Arial"/>
        <family val="2"/>
        <charset val="186"/>
      </rPr>
      <t xml:space="preserve"> </t>
    </r>
  </si>
  <si>
    <t>UGDYMO KOKYBĖS IR MOKYMOSI APLINKOS UŽTIKRINIMAS (02)</t>
  </si>
  <si>
    <t>Švietimo skyrius</t>
  </si>
  <si>
    <t xml:space="preserve">  brandos egzaminams organizuoti ir vykdyti</t>
  </si>
  <si>
    <t xml:space="preserve">  neformaliojo vaikų švietimo programoms</t>
  </si>
  <si>
    <t xml:space="preserve">  suaugusiųjų neformalaus ugdymo programoms</t>
  </si>
  <si>
    <t xml:space="preserve">  pedagoginė grupė</t>
  </si>
  <si>
    <t xml:space="preserve">  lengvatinio moksleivių pervež. išlaidų kompensav.</t>
  </si>
  <si>
    <t xml:space="preserve">  maisto atliekų utilizavimui</t>
  </si>
  <si>
    <t xml:space="preserve">  VŠĮ Rokiškio jaunimo centras</t>
  </si>
  <si>
    <t xml:space="preserve">  VŠĮ Rokiškio jaunimo centras Žiobiškio sk.</t>
  </si>
  <si>
    <t>mokinių pavėžėjimui tėvų (globėjų) nuosavu transportu</t>
  </si>
  <si>
    <t>Pandėlio prad.m-klos Kazliškio skyrius</t>
  </si>
  <si>
    <t>J. Tumo - Vaižganto gimnazijos bendrabutis</t>
  </si>
  <si>
    <t>Juodupės gimn.neformaliojo švietimo sk.</t>
  </si>
  <si>
    <t>Kamajų A.Strazdo gim. ikimokyklinio ug.sk.</t>
  </si>
  <si>
    <t>Kamajų gimn. neformaliojo švietimo skyrius</t>
  </si>
  <si>
    <t>Obelių gimnaz. neformaliojo švietimo sk.</t>
  </si>
  <si>
    <t>Pedagogonė psichologinė tarnyba</t>
  </si>
  <si>
    <t>Panemunėlio universalus daugiafunkcis centras</t>
  </si>
  <si>
    <t xml:space="preserve"> iš to sk.: ledo arenos šaldymui</t>
  </si>
  <si>
    <t>KULTŪROS,SPPORTO,BENDRUOME-    NĖS IR VAIKŲ IR JAUNIMO GYVENIMO AKTYVINIMO PROGRAMA (03)</t>
  </si>
  <si>
    <t>Kultūros,turizmo ir ryšių su užsienio šalimis skyrius</t>
  </si>
  <si>
    <t xml:space="preserve">  tarptautinis bendradarbiavimas</t>
  </si>
  <si>
    <t xml:space="preserve">  rajono renginių programa</t>
  </si>
  <si>
    <t xml:space="preserve">  nevyriausybinių organizacijų projektų finansavimas</t>
  </si>
  <si>
    <t xml:space="preserve">   iš to sk.: jaunimo org.projektų finansavimas</t>
  </si>
  <si>
    <t xml:space="preserve">                  sporto organizacijų projektų finansavimas</t>
  </si>
  <si>
    <t xml:space="preserve">  leidyba</t>
  </si>
  <si>
    <t xml:space="preserve">  talentingų žmonių rėmimui</t>
  </si>
  <si>
    <t xml:space="preserve">  kaimo materialinės bazės stiprinimui</t>
  </si>
  <si>
    <t xml:space="preserve">  pasiruošimas 2018 m. dainų šventei</t>
  </si>
  <si>
    <t xml:space="preserve">  Rotary klubui projektui</t>
  </si>
  <si>
    <t xml:space="preserve"> iš to sk.: festivaliui ,,Vaidiname žemdirbiams"</t>
  </si>
  <si>
    <t xml:space="preserve">               projektui ,,Lietuvos kultūros sostinė"</t>
  </si>
  <si>
    <t>J.Keliuočio Viešoji biblioteka</t>
  </si>
  <si>
    <t>iš to sk.: Baltijos galiūnų čempionatui</t>
  </si>
  <si>
    <t>Vaiko teisių apsaugos skyrius</t>
  </si>
  <si>
    <r>
      <t xml:space="preserve"> </t>
    </r>
    <r>
      <rPr>
        <i/>
        <sz val="10"/>
        <rFont val="Arial"/>
        <family val="2"/>
        <charset val="186"/>
      </rPr>
      <t xml:space="preserve"> vaikų dienos centrų dalinis finansavimas</t>
    </r>
  </si>
  <si>
    <t xml:space="preserve">  vaikų ir jaunimo socializacija</t>
  </si>
  <si>
    <r>
      <t xml:space="preserve">  </t>
    </r>
    <r>
      <rPr>
        <i/>
        <sz val="9"/>
        <rFont val="Arial"/>
        <family val="2"/>
        <charset val="186"/>
      </rPr>
      <t>nusikalstamų veikų prevencijos ir kontrolės progr.</t>
    </r>
  </si>
  <si>
    <t xml:space="preserve">SOCIALINĖS PARAMOS IR SVEIKATOS APSAUGOS PASLAUGŲ KOKYBĖS GERINIMAS (04)                 </t>
  </si>
  <si>
    <t xml:space="preserve">  socialinė parama</t>
  </si>
  <si>
    <t xml:space="preserve">  slauga pagal socialines indikacijas</t>
  </si>
  <si>
    <t xml:space="preserve">  parapijos senelių namų finansavimas</t>
  </si>
  <si>
    <t xml:space="preserve">  būsto pritaikymas neįgaliesiems</t>
  </si>
  <si>
    <t xml:space="preserve">  asmenų patalpinimas į stacionarias globos įstaigas</t>
  </si>
  <si>
    <t xml:space="preserve">  socialinė parama mokiniams</t>
  </si>
  <si>
    <t xml:space="preserve">  asmenų su sunkia negalia socialinė globa</t>
  </si>
  <si>
    <t xml:space="preserve">  lėšos socialinėms paslaugoms</t>
  </si>
  <si>
    <t xml:space="preserve">  kompensacijos už šildymą ir vandenį</t>
  </si>
  <si>
    <t xml:space="preserve">  Socialinės reabilitacijos paslaugų neįgaliesiems bendruomenėje projektams finansuoti</t>
  </si>
  <si>
    <t xml:space="preserve">  neveiksnių asmenų būklės peržiūrėjimas</t>
  </si>
  <si>
    <t xml:space="preserve">  VšĮ Rokiškio rajono ligoninės dalininko kapitalui didinti (lizingas)</t>
  </si>
  <si>
    <t xml:space="preserve">  Gydytojų rezidentūros studijų kompensavimas</t>
  </si>
  <si>
    <t xml:space="preserve">  Vystomoji bendradarbiavimo veikla</t>
  </si>
  <si>
    <t xml:space="preserve">   darbo politikos formavavimas ir įgyvendinimas</t>
  </si>
  <si>
    <t xml:space="preserve">   lengvatinio keleivių pervežimo išlaidų kompensav.</t>
  </si>
  <si>
    <t xml:space="preserve">   kompensacijos už liftų naudojimą</t>
  </si>
  <si>
    <r>
      <t xml:space="preserve"> </t>
    </r>
    <r>
      <rPr>
        <sz val="10"/>
        <rFont val="Arial"/>
        <family val="2"/>
        <charset val="186"/>
      </rPr>
      <t xml:space="preserve"> </t>
    </r>
    <r>
      <rPr>
        <i/>
        <sz val="10"/>
        <rFont val="Arial"/>
        <family val="2"/>
        <charset val="186"/>
      </rPr>
      <t xml:space="preserve">iš to sk.: </t>
    </r>
    <r>
      <rPr>
        <i/>
        <sz val="10"/>
        <rFont val="Arial"/>
        <family val="2"/>
        <charset val="186"/>
      </rPr>
      <t>sveikatos priežiūra mokyklose</t>
    </r>
  </si>
  <si>
    <t>RAJONO INFRASTRUKTŪROS OBJEKTŲ PRIEŽIŪRA,PLĖTRA IR MODERNIZAVIMAS (05)</t>
  </si>
  <si>
    <t xml:space="preserve">   kapitalo investicijos ir ilgalaikio turto remontas</t>
  </si>
  <si>
    <t>iš to sk.: Valstybės investicijų programa</t>
  </si>
  <si>
    <t xml:space="preserve">   VšĮ Juodupės komunalininkas dalininko kapitalui didinti (paskolai grąžinti)</t>
  </si>
  <si>
    <t xml:space="preserve">   kelių žiemos priežiūra</t>
  </si>
  <si>
    <t xml:space="preserve">   subsidijos gamintojams už šiluminę energiją</t>
  </si>
  <si>
    <t xml:space="preserve">   įvykdytų projektų priežiūrai</t>
  </si>
  <si>
    <t xml:space="preserve">   seniūnijų gatvių apšvietimo atnaujinimas</t>
  </si>
  <si>
    <t xml:space="preserve">  teritorijų planavimas ir detalieji planai</t>
  </si>
  <si>
    <t>KAIMO PLĖTROS,APLINKOS APSAUGOS IR VERSLO SKATINIMAS (06)</t>
  </si>
  <si>
    <t xml:space="preserve">    smulkaus ir vidutinio verslo plėtros programa</t>
  </si>
  <si>
    <t>Žemės ūkio skyrius</t>
  </si>
  <si>
    <t xml:space="preserve">  žemės gerinimas</t>
  </si>
  <si>
    <t xml:space="preserve">   žemės ūkio plėtros programa</t>
  </si>
  <si>
    <t xml:space="preserve">   pavojingų,didžiagabaritinių ir asbesto turinčių atliekų surinkimas ir sutvarkymas</t>
  </si>
  <si>
    <r>
      <t xml:space="preserve">  </t>
    </r>
    <r>
      <rPr>
        <i/>
        <sz val="10"/>
        <rFont val="Arial"/>
        <family val="2"/>
        <charset val="186"/>
      </rPr>
      <t>aplinkos apsaugos rėmimo spec.programa</t>
    </r>
  </si>
  <si>
    <t xml:space="preserve">  nuostolingų maršrutų išlaidoms kompensuoti</t>
  </si>
  <si>
    <t xml:space="preserve">                                                         IŠ VISO:</t>
  </si>
  <si>
    <r>
      <t xml:space="preserve">MK* - </t>
    </r>
    <r>
      <rPr>
        <sz val="10"/>
        <rFont val="Arial"/>
        <family val="2"/>
        <charset val="186"/>
      </rPr>
      <t>mokinio krepšelis</t>
    </r>
  </si>
  <si>
    <t>ROKIŠKIO RAJONO SAVIVALDYBĖS 2018 METŲ BIUDŽETAS</t>
  </si>
  <si>
    <t>2018 m. vasario 21 d. sprendimo Nr. TS-</t>
  </si>
  <si>
    <t>Iš viso VF*/ES*</t>
  </si>
  <si>
    <r>
      <t>VF*</t>
    </r>
    <r>
      <rPr>
        <sz val="10"/>
        <rFont val="Arial"/>
        <family val="2"/>
        <charset val="186"/>
      </rPr>
      <t xml:space="preserve"> - valstybės funkcija/</t>
    </r>
    <r>
      <rPr>
        <b/>
        <sz val="10"/>
        <rFont val="Arial"/>
        <family val="2"/>
        <charset val="186"/>
      </rPr>
      <t xml:space="preserve">ES* </t>
    </r>
    <r>
      <rPr>
        <sz val="10"/>
        <rFont val="Arial"/>
        <family val="2"/>
        <charset val="186"/>
      </rPr>
      <t>- Europos sąjungos</t>
    </r>
  </si>
  <si>
    <t>Beglobių gyvūnų priežiūra</t>
  </si>
  <si>
    <t>PRACT už atliekų tvarkymą</t>
  </si>
  <si>
    <t>Kaimo programa</t>
  </si>
  <si>
    <t>Melioracijos programa</t>
  </si>
  <si>
    <t>Talentingų žmonių rėmimo programa</t>
  </si>
  <si>
    <t>Užimtumo didinimo programa</t>
  </si>
  <si>
    <t>Seniūnijų gatvių apšvietimo atnaujinimo programa</t>
  </si>
  <si>
    <t>Rajono reprezentacinių sporto renginių programa</t>
  </si>
  <si>
    <t>Mirusių asmenų palaikų ekspertiniams tyrimams nuvežimo išlaidoms</t>
  </si>
  <si>
    <t>Socialinių būstų remontui</t>
  </si>
  <si>
    <t>Rokiškio baseinas</t>
  </si>
  <si>
    <t>Jaunimo politikos įgyvendinimo programa</t>
  </si>
  <si>
    <t>Mokyklinių autobusų remontui</t>
  </si>
  <si>
    <t>Žemės sklypų kadastrinių matavimų atlikimas ir kitos paslaugos</t>
  </si>
  <si>
    <t>Turto valdymo ir ūkio skyrius</t>
  </si>
  <si>
    <t>Nekilnojamojo turto įregistravimas</t>
  </si>
  <si>
    <t>Nekilnojamojo turto nuomos specialioji programa</t>
  </si>
  <si>
    <t>Statybos ir  infrastruktūros plėtros skyrius</t>
  </si>
  <si>
    <t>Investiciniams projektams,galimybių studijoms ir kitiems dokumentams rengti</t>
  </si>
  <si>
    <t>Nusikalstamų veikų prevencijos ir kontrolės programa</t>
  </si>
  <si>
    <t>RAJONO INFRASTRUKTŪROS OBJEKTŲ PRIEŽIŪRA, PLĖTRA IR MODERNIZAVIMAS (05)</t>
  </si>
  <si>
    <t>KAIMO PLĖTROS, APLINKOS APSAUGOS IR VERSLO SKATINIMAS (06)</t>
  </si>
  <si>
    <t>PRATC už atliekų tvarkymą</t>
  </si>
  <si>
    <t>Nuostolingų maršrutų išlaidoms kompensuoti</t>
  </si>
  <si>
    <t>Mokymosi pasiekimų patikrinimams organizuoti ir vykdyti</t>
  </si>
  <si>
    <t>Jaunimo centras</t>
  </si>
  <si>
    <t>Obelių socialinių paslaugų namai</t>
  </si>
  <si>
    <t>Dalyvaujamajam biudžetui</t>
  </si>
  <si>
    <t>Obelių  socialinių paslaugų namai</t>
  </si>
  <si>
    <t>Finansinė parama atvykstantiems gydytojams ir rezidentams</t>
  </si>
  <si>
    <t>Daugiabučių namų bendrijų rėmimo fondas</t>
  </si>
  <si>
    <t>Rokiškio rajono teritorijos ir Rokiškio miesto teritorijos bendrųjų ir detaliųjų planų parengimas</t>
  </si>
  <si>
    <t>Dotacijos grąžinimas</t>
  </si>
  <si>
    <t>Sporto nevyriausybinių renginių finansavimas</t>
  </si>
  <si>
    <t>Rajono renginių finansavimas</t>
  </si>
  <si>
    <t>Leidybos ir komunikacijos priemonių finansavimas</t>
  </si>
  <si>
    <t>Kaimo kultūrinės veiklos finansavimas</t>
  </si>
  <si>
    <t>Kultūrinės veiklos sklaidos ir kokybės gerinimo finansavimas</t>
  </si>
  <si>
    <t>Etninės kultūros, istorijos ir tautinės atminties išsaugojimo veiklų finansavimas ir organizavimas</t>
  </si>
  <si>
    <t>Švietimo ir sporto skyrius</t>
  </si>
  <si>
    <t xml:space="preserve">Architektūros ir paveldosaugos skyrius </t>
  </si>
  <si>
    <t xml:space="preserve">Žemės ūkio skyrius </t>
  </si>
  <si>
    <t xml:space="preserve">Socialinės paramos ir sveikatos skyrius </t>
  </si>
  <si>
    <t>L.-d. ,,Nykštukas"</t>
  </si>
  <si>
    <t>L.-d. ,,Pumpurėlis"</t>
  </si>
  <si>
    <t>Juodupės l.-d.</t>
  </si>
  <si>
    <t>M.-d. ,,Ąžuoliukas"</t>
  </si>
  <si>
    <t>M.-d. ,,Ąžuoliukas" Kavoliškio skyrius</t>
  </si>
  <si>
    <t>L.-d. ,,Varpelis"</t>
  </si>
  <si>
    <t>Maisto atliekoms utilizuoti</t>
  </si>
  <si>
    <t>Darželiams, mokykloms - įrangai įsigyti, higienos reikalavimams vykdyti</t>
  </si>
  <si>
    <t>Juozo Tumo-Vaižganto gimnazija</t>
  </si>
  <si>
    <t>Juozo Keliuočio viešoji biblioteka</t>
  </si>
  <si>
    <t>Kamajų Antano Strazdo gimnazija</t>
  </si>
  <si>
    <t>IŠ VISO ŠVIETIMO ĮSTAIGŲ:</t>
  </si>
  <si>
    <t xml:space="preserve">Finansų skyrius </t>
  </si>
  <si>
    <t>Pagalbos pinigų ir kitų išmokų finansavimas</t>
  </si>
  <si>
    <t>Pirmoko krepšelis</t>
  </si>
  <si>
    <t>Būsto nuomos mokesčio daliai finansuoti</t>
  </si>
  <si>
    <t>Finansinė parama atvykstantiems pedagogams</t>
  </si>
  <si>
    <t>Eil.     Nr.</t>
  </si>
  <si>
    <t>Pajamų klasifikacijos kodas</t>
  </si>
  <si>
    <t xml:space="preserve">            Pajamos</t>
  </si>
  <si>
    <t>1.1.</t>
  </si>
  <si>
    <t>1.1.1.</t>
  </si>
  <si>
    <t>1.1.1.1.1.</t>
  </si>
  <si>
    <t>Gyventojų pajamų mokestis</t>
  </si>
  <si>
    <t>1.1.3.</t>
  </si>
  <si>
    <t>1.1.3.1.</t>
  </si>
  <si>
    <t>Žemės mokestis</t>
  </si>
  <si>
    <t>1.1.3.2.</t>
  </si>
  <si>
    <t>1.1.3.3.</t>
  </si>
  <si>
    <t>Nekilnojamojo turto mokestis</t>
  </si>
  <si>
    <t>1.1.4.</t>
  </si>
  <si>
    <t>1.1.4.7.1.1.</t>
  </si>
  <si>
    <t>Mokesčiai už aplinkos teršimą</t>
  </si>
  <si>
    <t>1.3.</t>
  </si>
  <si>
    <t>1.3.4.1.1.1.</t>
  </si>
  <si>
    <t xml:space="preserve"> 1.3.4.1.1.1.1.</t>
  </si>
  <si>
    <t>Valstybinėms (valstybės perduotoms savivaldybėms) funkcijoms vykdyti</t>
  </si>
  <si>
    <t xml:space="preserve"> 1.3.4.1.1.1.2.</t>
  </si>
  <si>
    <t>Mokymo lėšos</t>
  </si>
  <si>
    <t xml:space="preserve"> 1.3.4.1.1.1.3.</t>
  </si>
  <si>
    <t xml:space="preserve"> 1.3.4.1.1.1.4.</t>
  </si>
  <si>
    <t>1.3.4.1.1.5.</t>
  </si>
  <si>
    <t>1.3.4.1.1.5.1.</t>
  </si>
  <si>
    <t>Akredituotai vaikų dienos socialinei priežiūrai organizuoti, teikti ir administruoti (VBD)</t>
  </si>
  <si>
    <t>1.3.4.2.</t>
  </si>
  <si>
    <t>1.3.4.2.1.1.1.</t>
  </si>
  <si>
    <t>1.3.4.2.1.1.2.</t>
  </si>
  <si>
    <t>1.4.</t>
  </si>
  <si>
    <t>1.4.1.</t>
  </si>
  <si>
    <t>1.4.1.4.1.</t>
  </si>
  <si>
    <t>Nuomos mokestis už valstybinę žemę ir valstybinio vidaus fondo vandens telkinius</t>
  </si>
  <si>
    <t>Dividendai</t>
  </si>
  <si>
    <t>1.4.1.4.2.1.</t>
  </si>
  <si>
    <t xml:space="preserve">Pajamos už teikiamas paslaugas </t>
  </si>
  <si>
    <t>Valstybės rinkliavos</t>
  </si>
  <si>
    <t>Vietinės rinkliavos</t>
  </si>
  <si>
    <t>1.4.3.1.</t>
  </si>
  <si>
    <t>Pajamos iš baudų ir konfiskuoto turto ir kitų netesybų</t>
  </si>
  <si>
    <t>Kitos neišvardytos pajamos</t>
  </si>
  <si>
    <t>4.1.1.</t>
  </si>
  <si>
    <t>MATERIALIOJO IR NEMATERIALIOJO TURTO REALIZAVIMO PAJAMOS</t>
  </si>
  <si>
    <t>Biudžeto lėšų likutis</t>
  </si>
  <si>
    <t xml:space="preserve"> iš jo: Aplinkos apsaugos rėmimo specialioji programa</t>
  </si>
  <si>
    <t xml:space="preserve">     biudžetinių įstaigų pajamos už teikiamas paslaugas</t>
  </si>
  <si>
    <t xml:space="preserve">    apyvartos lėšos</t>
  </si>
  <si>
    <t>Dotacijos</t>
  </si>
  <si>
    <t>Civilinės būklės aktų registravimas</t>
  </si>
  <si>
    <t>Pirminė teisinė pagalba</t>
  </si>
  <si>
    <t>Gyventojų registro tvarkymas ir duomenų teikimas valstybės registrui</t>
  </si>
  <si>
    <t>Civilinė sauga</t>
  </si>
  <si>
    <t>Gyvenamosios vietos deklaravimas</t>
  </si>
  <si>
    <t>SOCIALINĖS APSAUGOS IR DARBO MINISTERIJA</t>
  </si>
  <si>
    <t>Socialinėms išmokoms</t>
  </si>
  <si>
    <t>Socialinėms paslaugoms</t>
  </si>
  <si>
    <t>Jaunimo teisių apsaugai</t>
  </si>
  <si>
    <t>SVEIKATOS APSAUGOS MINISTERIJA</t>
  </si>
  <si>
    <t>Visuomenės sveikatos priežiūros funkcijoms vykdyti</t>
  </si>
  <si>
    <t>Neveiksnių asmenų būklės peržiūrėjimas</t>
  </si>
  <si>
    <t>ŽEMĖS ŪKIO MINISTERIJA</t>
  </si>
  <si>
    <t>Žemės ūkio funkcijai</t>
  </si>
  <si>
    <t>Melioracijai</t>
  </si>
  <si>
    <t>KRAŠTO APSAUGOS MINISTERIJA</t>
  </si>
  <si>
    <t>Dalyvavimas rengiant ir vykdant mobilizaciją</t>
  </si>
  <si>
    <t>LIETUVOS VYRIAUSIO ARCHYVARO TARNYBA</t>
  </si>
  <si>
    <t>Archyvinių dokumentų tvarkymas</t>
  </si>
  <si>
    <t>KONKURENCIJOS TARYBA</t>
  </si>
  <si>
    <t>Duomenų apie suteiktą valstybės pagalbą teikimas valsybės registrui</t>
  </si>
  <si>
    <t>VALSTYBINĖ KALBOS INSPEKCIJA</t>
  </si>
  <si>
    <t>Valstybinės kalbos vartojimo ir taisyklingumo kontrolė</t>
  </si>
  <si>
    <t>ŠVIETIMO IR MOKSLO MINISTERIJA</t>
  </si>
  <si>
    <t>Ūkio lėšos mokykloms, turinčioms mokinių su specialiaisiais poreikiais Rokiškio pagrindinei mokyklai</t>
  </si>
  <si>
    <t>Koordinuotai teikiamų paslaugų vaikams ir vaiko atstovams koordinavimui finansuoti (TBK)</t>
  </si>
  <si>
    <t>KULTŪROS MINISTERIJA</t>
  </si>
  <si>
    <t>Viešajai bibliotekai dokumentams įsigyti</t>
  </si>
  <si>
    <t>Valstybės funkcijos pavadinimas</t>
  </si>
  <si>
    <t>Programa</t>
  </si>
  <si>
    <t>Asignavimų valdytojas</t>
  </si>
  <si>
    <t>Gyventojų registro tvarkymas ir duomenų valstybės registrui teikimas</t>
  </si>
  <si>
    <t>Civilinės saugos organizavimas</t>
  </si>
  <si>
    <t>Jaunimo teisių apsauga</t>
  </si>
  <si>
    <t xml:space="preserve">Pirminė teisinė pagalba </t>
  </si>
  <si>
    <t xml:space="preserve">        iš jų: socialinė parama       </t>
  </si>
  <si>
    <t xml:space="preserve">                administravimas  </t>
  </si>
  <si>
    <t xml:space="preserve">        iš jų: asmenų su sunkia negalia globa</t>
  </si>
  <si>
    <t xml:space="preserve">                administravimas </t>
  </si>
  <si>
    <t xml:space="preserve">                darbui su socialinės rizikos šeimomis</t>
  </si>
  <si>
    <t xml:space="preserve"> Administracija</t>
  </si>
  <si>
    <t xml:space="preserve">                  iš jų:</t>
  </si>
  <si>
    <t xml:space="preserve">Neveiksnių asmenų būklės peržiūrėjimas </t>
  </si>
  <si>
    <t>Erdvinių duomenų rinkinio tvarkymo funkcija</t>
  </si>
  <si>
    <t xml:space="preserve">Švietimo įstaigoms </t>
  </si>
  <si>
    <t xml:space="preserve">Akredituotai vaikų dienos socialinei priežiūrai </t>
  </si>
  <si>
    <t>Lėšos  savivaldybės viešajai bibliotekai dokumentams įsigyti</t>
  </si>
  <si>
    <t>VB lėšos neformaliam švietimui</t>
  </si>
  <si>
    <t xml:space="preserve">Iš viso </t>
  </si>
  <si>
    <t xml:space="preserve"> iš jų:</t>
  </si>
  <si>
    <t>IŠ VISO</t>
  </si>
  <si>
    <t>1.3.4.1.1.5.2.</t>
  </si>
  <si>
    <t>1.3.4.1.1.5.6.</t>
  </si>
  <si>
    <t xml:space="preserve"> </t>
  </si>
  <si>
    <t>1.3.3.</t>
  </si>
  <si>
    <t>Europos Sąjungos finansinės paramos lėšos</t>
  </si>
  <si>
    <t>Skolintos lėšos</t>
  </si>
  <si>
    <t>Lėšos ameninei pagalbai teikti ir administruoti</t>
  </si>
  <si>
    <t>Lėšos asmeninei pagalbai teikti ir administruoti</t>
  </si>
  <si>
    <t>Transporto paslaugų finansavimas neįgaliesiems</t>
  </si>
  <si>
    <t>Asmens higienos paslaugos kompensavimas</t>
  </si>
  <si>
    <t>Viešosioms nemokamo vietinio reguliaraus susisiekimo paslaugoms organizuoti</t>
  </si>
  <si>
    <t>Gyvenviečių gruntinio vandens nutekėjimo avarinei būklei likviduoti</t>
  </si>
  <si>
    <t>Duomenų apie suteiktą valstybės pagalbą teikimas valstybės registrui</t>
  </si>
  <si>
    <t>Lėšos ugdymui, maitinimui ir pavėžėjimui socialinę riziką patiriančių vaikų ikimokykliniam ugdymui užtikrinti</t>
  </si>
  <si>
    <t>Kompleksinėms paslaugoms šeimai organizuoti</t>
  </si>
  <si>
    <t>Akredituotai  socialinei reabilitacijai neįgaliesiems bendruomenėje organizuoti, teikti ir administruoti</t>
  </si>
  <si>
    <t>APLINKOS MINISTERIJA</t>
  </si>
  <si>
    <t>Trūkstamų specialistų pritraukimo į Panevėžio apskrities vyriausiojo policijos komisriato Rokiškio policijos komisariatą programa</t>
  </si>
  <si>
    <t>Akredituotai socialinei reabilitacijai neįgaliesiems bendruomenėje organizuoti, teikti  ir administruoti</t>
  </si>
  <si>
    <t>Akredituotai vaikų dienos socialinei priežiūrai</t>
  </si>
  <si>
    <t>Naujagimio kraitelis</t>
  </si>
  <si>
    <t xml:space="preserve">        iš jų:</t>
  </si>
  <si>
    <t xml:space="preserve"> Pajamų ir pelno mokesčiai (3+4)</t>
  </si>
  <si>
    <t>MOKESČIAI (2+5+9)</t>
  </si>
  <si>
    <t>Turto  mokesčiai (6+7+8)</t>
  </si>
  <si>
    <t>Prekių ir paslaugų mokesčiai (10)</t>
  </si>
  <si>
    <t>Laisvės kovų įamžinimo komisijos veiklos programa</t>
  </si>
  <si>
    <t>Religinių bendruomenių rėmimo programa</t>
  </si>
  <si>
    <t>Nekilnojamojo  kultūros paveldo pažinimo sklaidos ir atgaivinimo programa</t>
  </si>
  <si>
    <t xml:space="preserve">Strateginio planavimo ir investicijų   skyrius </t>
  </si>
  <si>
    <t>Paveldimo ir dovanojimo mokestis</t>
  </si>
  <si>
    <t>Juozo Tumo-Vaižganto gimnazijos klasėms, turinčioms moksleivių su specialiaisiais ugdymo poreikiais</t>
  </si>
  <si>
    <t>Neformaliajam vaikų švietimui</t>
  </si>
  <si>
    <t>Juozo Tumo-Vaižganto gimnazijos klasėms, turinčioms mokinių su specialiaisiais ugdymo poreikiais</t>
  </si>
  <si>
    <t>Lėšos neformaliajam vaikų švietimui</t>
  </si>
  <si>
    <t>Akredituotai vaikų  dienos socialinei priežiūrai  organizuoti, teikti ir administruoti</t>
  </si>
  <si>
    <t>Kompiuterinėms technologijoms atnaujinti</t>
  </si>
  <si>
    <t>Nevyriausybinių organizacijų projektų finansavimas</t>
  </si>
  <si>
    <t>Savivaldybių viešosioms bibliotekoms dokumentams 2023 metais įsigyti (VBD)</t>
  </si>
  <si>
    <t>Akredituotų ir licenzijuotų paslaugų finansavimas</t>
  </si>
  <si>
    <t>1.3.4.1.1.5.8.</t>
  </si>
  <si>
    <t>1.3.4.1.1.5.9.</t>
  </si>
  <si>
    <t>1.3.4.1.1.5.10.</t>
  </si>
  <si>
    <t>Kelių priežiūros ir plėtros programa</t>
  </si>
  <si>
    <t>1.3.4.1.1.5.3.</t>
  </si>
  <si>
    <t>1.3.4.1.1.5.4.</t>
  </si>
  <si>
    <t>1.3.4.1.1.5.5.</t>
  </si>
  <si>
    <t xml:space="preserve">                                                                                                        </t>
  </si>
  <si>
    <t>1.4.1.2.1.2.</t>
  </si>
  <si>
    <t>Mokestis už  kitus valstybinius gamtos išteklius</t>
  </si>
  <si>
    <t>1.4.2.1.</t>
  </si>
  <si>
    <t>1.4.2.1.6.1</t>
  </si>
  <si>
    <t>1.4.2.1.6.2</t>
  </si>
  <si>
    <t>1.1.4.7.2.2.</t>
  </si>
  <si>
    <t>1.4.4.1.</t>
  </si>
  <si>
    <t>Kompleksinėms paslaugoms šeimai organizuoti iš viso:</t>
  </si>
  <si>
    <t>tūkst. Eur</t>
  </si>
  <si>
    <t>Mero rezervas</t>
  </si>
  <si>
    <t>TEISINGUMO MINISTERIJA</t>
  </si>
  <si>
    <t>VIDAUS REIKALŲ MINISTERIJA</t>
  </si>
  <si>
    <t>1.4.1.1.1.2.</t>
  </si>
  <si>
    <t>Palūkanos už indėlius, depozitus ir sąskaitų likučius</t>
  </si>
  <si>
    <t>IŠ VISO SKYRIŲ IR ĮSTAIGŲ:</t>
  </si>
  <si>
    <t>Savivaldybės administracija (iš viso)</t>
  </si>
  <si>
    <t>Socialinės paramos ir sveikatos skyrius (iš viso)</t>
  </si>
  <si>
    <t>Socialinė parama mokiniams (nemokamas maitinimas vaikams, turintiems neįgalumą)</t>
  </si>
  <si>
    <t>Turto valdymo ir ūkio skyrius (iš viso)</t>
  </si>
  <si>
    <t>Strateginio planavimo ir investicijų skyrius (iš viso)</t>
  </si>
  <si>
    <t>BC ,,Spiečius' administravimas</t>
  </si>
  <si>
    <t>Architektūros ir  paveldosaugos skyrius  (iš viso)</t>
  </si>
  <si>
    <t>Žemės ūkio skyrius (iš viso)</t>
  </si>
  <si>
    <t>Švietimo ir sporto skyrius (iš viso)</t>
  </si>
  <si>
    <t>Komunikacijos ir kultūros skyrius (iš viso)</t>
  </si>
  <si>
    <t>Gyventojų pajamų mokestis iš veiklos su verslo liudijimu</t>
  </si>
  <si>
    <t>Ūkio lėšos mokykloms, turinčioms mokinių su specialiaisiais poreikiais (Rokiškio pagrindinei mokyklai)</t>
  </si>
  <si>
    <t>Lėšos  ugdymui, maitinimui ir pavėžėjimui (socialinę riziką patiriančių vaikų ikimokykliniam ugdymui užtikrinti)</t>
  </si>
  <si>
    <t>Ūkio lėšos mokykloms, turinčioms mokinių su specialiaisiais poreikiais (Rokiškio pagrindinei mokyklai (VBD))</t>
  </si>
  <si>
    <t>BC ,,Spiečius" administravimas</t>
  </si>
  <si>
    <t>Ugdymo, maitinimo ir pavėžėjimo lėšos socialinę riziką patiriančių vaikų ikimokykliniam ugdymui užtikrinti</t>
  </si>
  <si>
    <t>Eil. Nr.</t>
  </si>
  <si>
    <t>Paskolų aptarnavimo išlaidos (palūkanos)</t>
  </si>
  <si>
    <t>Paskolų grąžinimas</t>
  </si>
  <si>
    <t>1.3.3.1.</t>
  </si>
  <si>
    <t>Europos Sąjungos finansinės paramos lėšos  einamiesiems tikslams</t>
  </si>
  <si>
    <t>1.3.3.2.</t>
  </si>
  <si>
    <t>Europos Sąjungos finansinės paramos lėšos turtui įsigyti</t>
  </si>
  <si>
    <t>Rokiškio rajono savivaldybės tarybos</t>
  </si>
  <si>
    <t>Projekto pavadinimas</t>
  </si>
  <si>
    <t>ES fondų ar kitų programų lėšos</t>
  </si>
  <si>
    <t>VB</t>
  </si>
  <si>
    <t>Kitos lėšos</t>
  </si>
  <si>
    <t>SB</t>
  </si>
  <si>
    <t>VB lėšos</t>
  </si>
  <si>
    <t>SB lėšos (netinkamos finansuoti)</t>
  </si>
  <si>
    <t>Daugiafunkcės sporto salės Rokiškyje, Taikos g. 21A, statyba</t>
  </si>
  <si>
    <t xml:space="preserve"> Rokiškio r. savivaldybės administracija</t>
  </si>
  <si>
    <t>Rokiškio r. savivaldybės administracija</t>
  </si>
  <si>
    <t>Atsinaujinančių energijos išteklių (75 kW galios saulės elektrinės) diegimas Rokiškio Juozo Tumo-Vaižganto gimnazijoje (Taikos g. 17, Rokiškis)</t>
  </si>
  <si>
    <t>Rokiškio r. ligoninė</t>
  </si>
  <si>
    <t xml:space="preserve">„Atsinaujinančių energijos šaltinių diegimas VšĮ Rokiškio rajono ligoninėje“ </t>
  </si>
  <si>
    <t xml:space="preserve">Kriaunų varpas - bažnyčiai ir sėlių krašto žmonėms </t>
  </si>
  <si>
    <t xml:space="preserve"> Kriaunų Dievo Apvaizdos parapija</t>
  </si>
  <si>
    <t>BĮ Rokiškio baseinas</t>
  </si>
  <si>
    <t>Eil. Nr</t>
  </si>
  <si>
    <t>Projekto vertė iš viso</t>
  </si>
  <si>
    <t>Statybos ir infrastruktūros plėtros skyrius (SIPS)</t>
  </si>
  <si>
    <t>SIPS</t>
  </si>
  <si>
    <t xml:space="preserve">Rokiškio rajono Apaščios, Lailūnų ir Gerkonių kadastrinių vietovių dalies melioracijos griovių ir juose esančių statinių rekonstravimas </t>
  </si>
  <si>
    <t>Rokiškio rajono savivaldybės administracija</t>
  </si>
  <si>
    <t xml:space="preserve">Rokiškio rajono Skemų ir Gindvilių kadastrinių vietovių dalies melioracijos griovių ir juose esančių statinių rekonstravimas </t>
  </si>
  <si>
    <t>Rokiškio mokyklos-darželio ,,Ąžuoliukas“ pastato, Taikos g. 15, LT-42142 Rokiškis, energinio efektyvumo didinimas</t>
  </si>
  <si>
    <t>Mykolo Romerio pažinimo erdvė (pareiškėjas - Rokiškio r. Obelių gimnazija)</t>
  </si>
  <si>
    <t xml:space="preserve"> Rokiškio r. Obelių gimnazija</t>
  </si>
  <si>
    <t>ŠSS</t>
  </si>
  <si>
    <t>„Atviros ekosistemos atsiskaitymams negrynaisiais pinigais bendrojo ugdymo įstaigų valgyklose kūrimas“, Nr. 04-002-P-0001</t>
  </si>
  <si>
    <t>SB lėšos (tinkamoms finansuoti išlaidoms  ir apyvartinėms lėšoms)</t>
  </si>
  <si>
    <t>,,Natūralios vilnos produktų gamyba"</t>
  </si>
  <si>
    <t>SSVP Pro-grama</t>
  </si>
  <si>
    <t>Pareiškėjas / projekto vykdytojas</t>
  </si>
  <si>
    <t>ROKIŠKIO RAJONO SAVIVALDYBĖS 2024 METŲ BIUDŽETO ASIGNAVIMAI</t>
  </si>
  <si>
    <t>Savarankiška funkcija</t>
  </si>
  <si>
    <t>Valstybės biudžeto tikslinės lėšos</t>
  </si>
  <si>
    <t>Specialioji programa</t>
  </si>
  <si>
    <t>Laisvas lėšų likutis</t>
  </si>
  <si>
    <t>Europos sąjungos finansinė parama</t>
  </si>
  <si>
    <t xml:space="preserve">                                             ROKIŠKIO RAJONO SAVIVALDYBĖS 2024 METŲ BIUDŽETO ASIGNAVIMAI PROGRAMOMS</t>
  </si>
  <si>
    <t>Finansinė parama šeimynoms</t>
  </si>
  <si>
    <t>Ameninės pagalbos paslaugos finansavimas ir administravimas</t>
  </si>
  <si>
    <t xml:space="preserve">  ROKIŠKIO RAJONO SAVIVALDYBĖS 2024 METŲ BIUDŽETO PAJAMOS</t>
  </si>
  <si>
    <t>Užimtumo didinimo programa  iš viso</t>
  </si>
  <si>
    <t>Žemės ūkio  funkcijos vykdymas iš viso:</t>
  </si>
  <si>
    <t>Ameninės pagalbos paslaugos finansavimas  ir administravimas iš viso:</t>
  </si>
  <si>
    <t>Akredituotai  socialinei reabilitacijai neįgaliesiems bendruomenėje organizuoti, teikti ir administruoti iš viso:</t>
  </si>
  <si>
    <t>Savivaldybių teritorijoje esančių miestų ir miestelių teritorijų ribose valstybinės žemės, perduotos Lietuvos Respublikos Vyriausybės nutarimu, patikėtinio funkcijai vykdyti</t>
  </si>
  <si>
    <t>Savivaldybei perduotai įstaigai išlaikyti</t>
  </si>
  <si>
    <t>Savyvaldybės vykdomų projekų finsavimas</t>
  </si>
  <si>
    <t>Savivaldybės vykdomų projekų finsavimas</t>
  </si>
  <si>
    <t xml:space="preserve">2024 M. VALSTYBĖS BIUDŽETO DOTACIJŲ PASKIRSTYMAS PROGRAMOMS </t>
  </si>
  <si>
    <t>VšĮ Rokiškio rajono ligoninės  dalininko įnašui</t>
  </si>
  <si>
    <t xml:space="preserve">    Suma</t>
  </si>
  <si>
    <t>ROKIŠKIO RAJONO SAVIVALDYBĖS BIUDŽETO 2024 METŲ VALSTYBĖS BIUDŽETO DOTACIJOS</t>
  </si>
  <si>
    <t>Suma</t>
  </si>
  <si>
    <t>Socialinių paslaugų įstaigose dirbančių  socialinių paslaugų  srities darbuotojų pareiginei algai padidinti</t>
  </si>
  <si>
    <t>Kompensacijoms už būsto suteikimą užsieniečiams, pasitraukusiems iš Ukrainos  dėl Rusijos Federacijos karinės agresijos, finansuoti</t>
  </si>
  <si>
    <t>Kompensacijoms už būsto suteikimą užsieniečiams, pasitraukusiems iš Ukrainos  dėl Rusijos Federacijos karinės agresijos, finansuoti iš viso</t>
  </si>
  <si>
    <t>1.3.4.1.1.5.11.</t>
  </si>
  <si>
    <t>1.3.4.1.1.5.12.</t>
  </si>
  <si>
    <t xml:space="preserve">          2024 M. PLANUOJAMŲ VYKDYTI PROJEKTŲ, FINANSUOJAMŲ  ES, KITŲ FONDŲ,  VALSTYBĖS INVESTICIJŲ PROGRAMOS   LĖŠOMIS,  KURIEMS REIKALINGAS SAVIVALDYBĖS  DALINIS FINANSAVIMAS ,   SĄRAŠAS                             </t>
  </si>
  <si>
    <t>Reikia 2024 metams, tūkst. Eur</t>
  </si>
  <si>
    <t>Žemės ūkio skyrius (toliau- ŽŪS)</t>
  </si>
  <si>
    <t>ŽŪS</t>
  </si>
  <si>
    <t>Švietimo ir sporto skyrius (toliaus - ŠSS)</t>
  </si>
  <si>
    <t>Tūkstantmečio mokyklų programos Rokiškio rajono savivaldybės švietimo pažangos plano įgyvendinimas (,,Tūkstantmečio mokyklos II")</t>
  </si>
  <si>
    <t>Turto valdymo ir ūkio skyrius (toliaus - TVŪS)</t>
  </si>
  <si>
    <t>Valstybinės žemės nuomos mokesčio skaitmeninimas</t>
  </si>
  <si>
    <t xml:space="preserve"> Pareiškėjas - Panevėžio rajono savivaldybės administracija, partneris - Rokiškio rajono savivaldybės administracija </t>
  </si>
  <si>
    <t>Strateginio planavimo ir investicijų skyrius (toliau - SPIS)</t>
  </si>
  <si>
    <t xml:space="preserve">Inkubavimo, konsultavimo, mentorystės ir tinklaveikos programų vystymas, skatinant pradedančiųjų SVV subjektų kūrimąsi ir augimą regionuose </t>
  </si>
  <si>
    <t>Pareiškėjas Inovacijų agentūra, partneris -Rokiškio r. sav. administracija</t>
  </si>
  <si>
    <t>SPIS</t>
  </si>
  <si>
    <t xml:space="preserve">Socialinio verslumo ekosistemos tobulinimas Žiemgaloje ir Šiaurės Lietuvoje (LAT-LIT INTERREG programa) </t>
  </si>
  <si>
    <t>Pareiškėjas -  Žiemgalos planavimo regionas, partneris - Rokiškio  rajono savivaldybės administracija</t>
  </si>
  <si>
    <t>Komunikacijos ir kultūros skyrius (toliau - KKS)</t>
  </si>
  <si>
    <t>Sugrąžinta istorija (LAT-LIT INTERREG programa)</t>
  </si>
  <si>
    <t>KKS</t>
  </si>
  <si>
    <t xml:space="preserve">Aktyvaus ir sveiko senėjimo skatinimas (LAT-LIT  INTERREG programa) </t>
  </si>
  <si>
    <t>Rokiškio J. Tūbelio progimnazija</t>
  </si>
  <si>
    <t>Socialinės paramos ir sveikatos skyrius (toliau - SPSS)</t>
  </si>
  <si>
    <t xml:space="preserve">„Perėjimas nuo institucinės globos prie bendruomeninių paslaugų Sostinės regione, Vidurio ir vakarų Lietuvos regione“ </t>
  </si>
  <si>
    <t>Asignavimai pagal skyrius, tūkst. Eur</t>
  </si>
  <si>
    <t xml:space="preserve">SIPS </t>
  </si>
  <si>
    <t>TVŪS</t>
  </si>
  <si>
    <t>SPSS</t>
  </si>
  <si>
    <t>Specialioji tikslinė dotacija iš viso (16+...+19)</t>
  </si>
  <si>
    <t>Valstybės biudžeto lėšos profesiniam orientavimui</t>
  </si>
  <si>
    <t xml:space="preserve">       iš jų:</t>
  </si>
  <si>
    <t xml:space="preserve">        iš jų: socialinių išmokų administravimas </t>
  </si>
  <si>
    <t xml:space="preserve">        iš jų: viešiesiems darbams</t>
  </si>
  <si>
    <t xml:space="preserve">                administravimas                    </t>
  </si>
  <si>
    <t xml:space="preserve">                moduliui</t>
  </si>
  <si>
    <t xml:space="preserve">                        Rokiškio rajono savivaldybės tarybos </t>
  </si>
  <si>
    <t xml:space="preserve">                        6 priedas</t>
  </si>
  <si>
    <t>5 progr.</t>
  </si>
  <si>
    <t>6 progr.</t>
  </si>
  <si>
    <t>3 progr.</t>
  </si>
  <si>
    <t>2 progr</t>
  </si>
  <si>
    <t>1 progr</t>
  </si>
  <si>
    <t>4 progr</t>
  </si>
  <si>
    <t>Savivaldybės vykdomų projektų finansavimas</t>
  </si>
  <si>
    <t>SB lėšos</t>
  </si>
  <si>
    <t>Skiriama biudžete iš viso</t>
  </si>
  <si>
    <t>KULTŪROS,  BENDRUOMENĖS  VAIKŲ IR JAUNIMO GYVENIMO AKTYVINIMO PROGRAMA (03)</t>
  </si>
  <si>
    <t>Rielenčių  parko įrengimas</t>
  </si>
  <si>
    <t>Riedlenčių  parko įrengimas</t>
  </si>
  <si>
    <t>J.Tumo-Vaižganto gimn.VŠĮ Rokiškio psichiatrijos ligoninės mokymo sk.</t>
  </si>
  <si>
    <t>Socialinė parama mokiniams - nemokamas maitinimas vaikams, turintiems neįgalumą</t>
  </si>
  <si>
    <t xml:space="preserve">  Juodupės seniūnija</t>
  </si>
  <si>
    <t xml:space="preserve">  Jūžintų seniūnija</t>
  </si>
  <si>
    <t xml:space="preserve">  Kamajų seniūnija</t>
  </si>
  <si>
    <t xml:space="preserve">  Kazliškio seniūnija</t>
  </si>
  <si>
    <t xml:space="preserve">  Kriaunų seniūnija</t>
  </si>
  <si>
    <t xml:space="preserve">  Obelių seniūnija</t>
  </si>
  <si>
    <t xml:space="preserve">  Pandėlio seniūnija</t>
  </si>
  <si>
    <t xml:space="preserve">  Panemunėlio seniūnija</t>
  </si>
  <si>
    <t xml:space="preserve">  Rokiškio kaimiškoji seniūnija</t>
  </si>
  <si>
    <t xml:space="preserve">  Rokiškio miesto seniūnija</t>
  </si>
  <si>
    <t>Atsinaujinančių energijos išteklių diegimas BĮ Rokiškio baseine</t>
  </si>
  <si>
    <t>,,Laiminga mokykla" , Erasmus +1 pagrindinio veiksmo projektas Nr. 2023-1-LT-01-KA122-SCH-000117735</t>
  </si>
  <si>
    <t>Socialinių paslaugų įstaigose dirbančių  socialinių paslaugų  srities darbuotojų pareiginei algai padidinti iš viso</t>
  </si>
  <si>
    <t>Rokiškio rajono dalies melioracijos griovių ir juose esančių statinių rekonstravimas</t>
  </si>
  <si>
    <t>Rokiškio rajono dalies melioracijos griovių ir juose esančių statinių rekonstravimas 2</t>
  </si>
  <si>
    <t xml:space="preserve">  Pareiškėjas - Žiemgalos planavimo regionas, partneris Rokiškio rajono savivaldybės administracija</t>
  </si>
  <si>
    <t>Asociacija ,,Tradicinių amatų studija"</t>
  </si>
  <si>
    <t>Pareiškėjas - Žiemgalos planavimo regionas, partneris - Rokiškio rajono savivaldybės Švietimo centras</t>
  </si>
  <si>
    <t xml:space="preserve">Projekto vykdytojas - Asmens su negalia teisių apsaugos agentūra prie Lietuvos Respublikos socialinės apsaugos ir darbo ministerijos, projekto partneriai - Rokiškio r. savivaldybės administracija , VŠĮ ,,Jautri širdis" </t>
  </si>
  <si>
    <t>Lėšų likutis</t>
  </si>
  <si>
    <t xml:space="preserve">                                                                                                          Rokiškio rajono savivaldybės tarybos </t>
  </si>
  <si>
    <t>2024 m. vasario 15 d. sprendimo Nr. TS-28</t>
  </si>
  <si>
    <t>Finansų skyrius  (iš viso)</t>
  </si>
  <si>
    <t>Statybos ir infrastruktūros plėtros skyrius( iš viso)</t>
  </si>
  <si>
    <t xml:space="preserve">                        2024 m. vasario 15 d. sprendimo Nr. TS -28</t>
  </si>
  <si>
    <t>2024 m. vasario 15 d. sprendimo TS -28</t>
  </si>
  <si>
    <t>1.3.4.1.1.5.7.</t>
  </si>
  <si>
    <t>(tūkst. Eur)</t>
  </si>
  <si>
    <t>7 priedas</t>
  </si>
  <si>
    <t>1.3.4.1.1.5.13.</t>
  </si>
  <si>
    <t>Asmenų su negalia reikalų koordinavimo funkcijai vykdyti</t>
  </si>
  <si>
    <t>Kelių priežiūrai ir plėtrai</t>
  </si>
  <si>
    <t>1.3.4.2.1.1.3.</t>
  </si>
  <si>
    <t xml:space="preserve"> Bendruomeninei veiklai stiprinti </t>
  </si>
  <si>
    <t>Koordunuotai   teikiamų paslaugų  vaikams ir vaiko  atstovams pagal įstatymą koordinavimui finansuoti (TBK)</t>
  </si>
  <si>
    <t>1.3.4.1.1.5.14.</t>
  </si>
  <si>
    <t>1.3.4.1.1.5.15.</t>
  </si>
  <si>
    <t>1.3.4.1.1.5.16.</t>
  </si>
  <si>
    <t>1.3.4.1.1.5.17.</t>
  </si>
  <si>
    <t>Daugiafunkcės sporto salės Rokiškyje, Taikos g. 21A, statybai (VIP)</t>
  </si>
  <si>
    <t>Daugiafunkcės salės Rokiškio m. Taikos g.21A  statybai (VIP)</t>
  </si>
  <si>
    <t>Būsto pritaikymui asmenims su negalia</t>
  </si>
  <si>
    <t>Koordinuotai   teikiamų paslaugų  vaikams ir vaiko  atstovams pagal įstatymą koordinavimui finansuoti (TBK)</t>
  </si>
  <si>
    <t>Būsto pritaikymui asmenims su negalia iš viso</t>
  </si>
  <si>
    <t xml:space="preserve">   iš jų:</t>
  </si>
  <si>
    <t>Statybos ir infrastruktūros plėtros skyrius</t>
  </si>
  <si>
    <t>Bendruomeninei veiklai stiprinti</t>
  </si>
  <si>
    <t>Žemės ūkio skyrius iš viso</t>
  </si>
  <si>
    <t>Komunikacijos ir kultūros skyrius</t>
  </si>
  <si>
    <t xml:space="preserve">Būsto pritaikymui asmenims su negalia </t>
  </si>
  <si>
    <t>redakcija</t>
  </si>
  <si>
    <t xml:space="preserve">(Rokiškio rajono ssavivaldybės tarybos </t>
  </si>
  <si>
    <t xml:space="preserve">                        (Rokiškio rajono savivaldybės tarybos</t>
  </si>
  <si>
    <t xml:space="preserve">                        redakcija)</t>
  </si>
  <si>
    <t>Socialinių paslaugų šakos kolektyvinėje sutartyje nustatytiems įsipareigojimams vykdyti</t>
  </si>
  <si>
    <t>iš to sk.: Turizmo informacijos centras</t>
  </si>
  <si>
    <r>
      <t xml:space="preserve">                    </t>
    </r>
    <r>
      <rPr>
        <b/>
        <sz val="12"/>
        <rFont val="Arial"/>
        <family val="2"/>
        <charset val="186"/>
      </rPr>
      <t xml:space="preserve">  IR ASIGNAVIMŲ VALDYTOJAMS</t>
    </r>
  </si>
  <si>
    <t>IŠ VISO VALSTYBĖS DELEGUOTOMS FUNKCIJOMS VYKDYTI (1+..+10+14+15+19+23+36+37+38+47+49+50+51)</t>
  </si>
  <si>
    <t>"STEAM ir įtraukusis ugdymas per tarptautines veiklas", Erasmus +1 pagrindinio veiksmo projektas Nr. 2023-1-LT01-KA122-SCH-000118602</t>
  </si>
  <si>
    <t>Rokiškio Senamiesčio progimnazija</t>
  </si>
  <si>
    <t>Vaikų laisvalaikio ir pramogų erdvė Bajoruose,  Nr. ROKI-LEADER-6B-DI-8-1-2021 / 42VS-PV-21-1-09765-PR001</t>
  </si>
  <si>
    <t>Bajorų kaimo bendruomenė</t>
  </si>
  <si>
    <t xml:space="preserve">  </t>
  </si>
  <si>
    <t xml:space="preserve">                                                  ( Rokiškio rajono savivaldybės tarybos             </t>
  </si>
  <si>
    <t xml:space="preserve">                       redakcija)</t>
  </si>
  <si>
    <t xml:space="preserve">   IŠ  VISO VALSTYBĖS DELEGUOTOMS FUNKCIJOMS (1+5+9+16+19+22+24+26+28+30)</t>
  </si>
  <si>
    <t xml:space="preserve">  IŠ VISO VALSTYBĖS BIUDŽETO LĖŠŲ (32+33)</t>
  </si>
  <si>
    <t>Darželiams, mokykloms  įrangai įsigyti, higienos reikalavimams vykdyti</t>
  </si>
  <si>
    <t>Senamiesčio progimnazijos Laibgalių ikimokyklinio ir priešmokyklinio  ugymo skyrius</t>
  </si>
  <si>
    <t>Juozo Tumo-Vaižganto gimnazijos VšĮ Rokiškio psichiatrijos ligoninės mokymo skyrius</t>
  </si>
  <si>
    <t>Juodupės gimnazijos neformaliojo švietimo skyrius</t>
  </si>
  <si>
    <t>Kamajų Antano Strazdo gimnazijos ikimokyklinio ugdymo skyrius</t>
  </si>
  <si>
    <t>Kamajų gimnazijos neformaliojo švietimo skyrius</t>
  </si>
  <si>
    <t>Obelių gimnazijos ikimokyklinio ir priešmokyklinio ugdymo skyrius</t>
  </si>
  <si>
    <t>Obelių gimnazijos neformaliojo švietimo skyrius</t>
  </si>
  <si>
    <t>Muzikos mokyklos choreografijos skyrius</t>
  </si>
  <si>
    <t>Mokinių pavėžėjimui tėvų (globėjų) nuosavu transportu ir kompensavimui už pateiktus bilietus</t>
  </si>
  <si>
    <t>Senamiesčio progimnazijos Laibgalių ikimokyklinio ir priešmokyklinio ugymo skyrius</t>
  </si>
  <si>
    <t>J.Tumo-Vaižganto gimnazijos suaugusiųjų ir jaunimo skyrius</t>
  </si>
  <si>
    <t>Kamajų  Antano Strazdo gimnazijos neformaliojo švietimo skyrius</t>
  </si>
  <si>
    <t>Ruolfo Lymano muzikos mokyklos choreografijos skyrius</t>
  </si>
  <si>
    <t xml:space="preserve">Daugiafunkcės salės Rokiškio m. Taikos g.21A  statybai </t>
  </si>
  <si>
    <t xml:space="preserve">Mokinių pavėžėjimui tėvų (globėjų) nuosavu transportu ir kompensavimui už pateiktus bilietus  </t>
  </si>
  <si>
    <t>Kelių  priežiūros ir plėtros programa</t>
  </si>
  <si>
    <t>Trūkstamų specialistų pritraukimo į Panevėžio apskrities vyriausiojo policijos komisariato Rokiškio policijos komisariatą programa</t>
  </si>
  <si>
    <t>Kompensacijoms už būsto suteikimą užsieniečiams, pasitraukusiems iš Ukrainos dėl Rusijos Federacijos karinės agresijos, finansuoti</t>
  </si>
  <si>
    <t>iš jų Turizmo informacijos centras</t>
  </si>
  <si>
    <t xml:space="preserve">                administravimas - švietimo įstaigoms </t>
  </si>
  <si>
    <t>Socialinė parama mokiniams iš viso</t>
  </si>
  <si>
    <t>Socialinės paslaugos iš viso</t>
  </si>
  <si>
    <t>Socialinės išmokos iš viso</t>
  </si>
  <si>
    <t xml:space="preserve">                socialinės išmokos (laidojimo pašalpos )  iš  viso</t>
  </si>
  <si>
    <t>Juozo Tumo-Vaižganto gimnazija - klasėms, turinčioms mokinių  su specialiaisiais  ugdymo poreikiais</t>
  </si>
  <si>
    <t>AB VIA LIETUVA</t>
  </si>
  <si>
    <t>1.3.4.1.1.5.18.</t>
  </si>
  <si>
    <t>Vaikų, atvykusių į Lietuvos Respubliką iš Ukrainos dėl Rusijos Federacijos karinių veiksmų Ukrainoje, pavėžėjimui į mokyklą ir atgal ir pedagoginių darbuotojų papildomam  darbui apmokėti</t>
  </si>
  <si>
    <t>Socialinių paslaugų šakos kolektyvinėje sutartyje nustatytiems įsipareigojimams vykdytiIiš viso</t>
  </si>
  <si>
    <t>Vaikų, atvykusių į Lietuvos Respubliką iš Ukrainos dėl Rusijos Federacijos karinių veiksmų Ukrainoje, pavėžėjimui į mokyklą ir atgal ir pedagoginių darbuotojų papildomam  darbui apmokėti iš viso</t>
  </si>
  <si>
    <t>M/D Ąžuoliukas</t>
  </si>
  <si>
    <t>Pandėlio gimnazija</t>
  </si>
  <si>
    <t>L/D  Nykštukas</t>
  </si>
  <si>
    <t>L/D  Pumpurėlis</t>
  </si>
  <si>
    <t>Juodupė l/d</t>
  </si>
  <si>
    <t>Panemunėlio univeraslus daugiafunkcis centras</t>
  </si>
  <si>
    <t xml:space="preserve"> IŠ VISO VALSTYBĖS BIUDŽETO LĖŠŲ (52+100)</t>
  </si>
  <si>
    <t xml:space="preserve"> Rokiškio rajono savivaldybės tarybos </t>
  </si>
  <si>
    <t xml:space="preserve">  2024 m. vasario 15 d. sprendimo Nr. TS-28</t>
  </si>
  <si>
    <t xml:space="preserve"> 5 priedas</t>
  </si>
  <si>
    <t xml:space="preserve">  ( Rokiškio rajono savivaldybės tarybos             </t>
  </si>
  <si>
    <t>redakcija)</t>
  </si>
  <si>
    <t>Valstybės vardu pasiskolintos lėšos patirtoms išlaidoms, patirtoms  teikiant socilinę pašalpą, būsto šildymo išlaidų, geriamojo vandens išlaidų ir karšto vandens išlaidų kompensacijas, skiriamas vadovaujamtis LR piniginės paramos  nepasiturintiems gyventojams įstatymu, Ukrainos gyventojams, nukentėjusiems  dėl Rusijos Fedracijos karinės agresijos prieš Ukrainą, padengti</t>
  </si>
  <si>
    <t>Rentgeno diagnostikos paslaugų kokybės gerinimo programai- C-lanko sistemai įsigyti</t>
  </si>
  <si>
    <t>Išlaidoms, susijusioms su savivaldybių mokytojų, dirbančių pagal ikimokyklinio, priešmokyklinio, bendrojo ugdymo  programas, personalo optimizavimu ir atnaujinimu, apmokėti</t>
  </si>
  <si>
    <t>VšĮ Rokiškio rajono ligoninei- Rentgeno diagnostikos paslaugų kokybės gerinimo programai- C-lanko sistemai įsigyti</t>
  </si>
  <si>
    <t xml:space="preserve">Ameninės pagalbos paslaugos finansavimas </t>
  </si>
  <si>
    <t>Dotacija projektui "Atsinaujinančių  energijos šaltinių diegimas BĮ Rokiškio baseine"</t>
  </si>
  <si>
    <t>Juozo Tumo-Vaižganto gimnazijos suaugusiųjų ir jaunimo skyrius</t>
  </si>
  <si>
    <t>1.3.4.1.1.5.19.</t>
  </si>
  <si>
    <t>1.3.4.1.1.5.20.</t>
  </si>
  <si>
    <t>Turto pajamos(49+..52)</t>
  </si>
  <si>
    <t>Rinkliavos(55+56)</t>
  </si>
  <si>
    <t>KITOS PAJAMOS (48+ 53+54+57+58)</t>
  </si>
  <si>
    <t>1.3.4.2.1.1.4.</t>
  </si>
  <si>
    <t>1.3.4.2.1.1.5.</t>
  </si>
  <si>
    <t>Kitos dotacijos turtui įsigyti (42+...+46)</t>
  </si>
  <si>
    <t>VISI MOKESČIAI, PAJAMOS IR DOTACIJOS(1+11+47+59)</t>
  </si>
  <si>
    <t>KITOS DOTACIJOS (34+45+47+61+63)</t>
  </si>
  <si>
    <t>Asignavimų už projektui skirtas 2024 m. SB   lėšas valdytojas</t>
  </si>
  <si>
    <t>10,479,40</t>
  </si>
  <si>
    <t>„Latvijos ir Lietuvos Dainų ir šokių švenčių aidai abipus sienos“</t>
  </si>
  <si>
    <t>"Materialinio nepritekliaus mažinimas Lietuvoje" Nr. MNM-2023-V-01-01</t>
  </si>
  <si>
    <t xml:space="preserve">Projekto vykdytojas - Europos socialinio fondo agentūros Projektų valdymo skyrius III, projekto partneriai - Rokiškio r. savivaldybės administracija , nevyriausybinė organizacija Lietuvos Raudonojo kryžiaus  draugija" </t>
  </si>
  <si>
    <t>Rokiškio rajono ASPN teikiančios mobilios komandos aprūpinimas įranga ir transporto priemone Nr. 09-010-P-0039</t>
  </si>
  <si>
    <t>Vykdytojas-Rokiškio rajono savivaldybės administracija; projekto partneris-VšĮ Rokiškio PASPC</t>
  </si>
  <si>
    <t>sumos-tūkst.Eur</t>
  </si>
  <si>
    <t>Rokiškio sacialinių paslaugų centras</t>
  </si>
  <si>
    <t>Rokiškio socialinių paslaugų centras</t>
  </si>
  <si>
    <t xml:space="preserve">  Rokiškio rajono savivaldybės tarybos  </t>
  </si>
  <si>
    <t xml:space="preserve">  3 priedas</t>
  </si>
  <si>
    <t>(Rokiškio rajono savivaldybės tarybos</t>
  </si>
  <si>
    <t xml:space="preserve">                         ROKIŠKIO RAJONO SAVIVALDYBĖS BIUDŽETINIŲ ĮSTAIGŲ 2024 M. PAJAMOS</t>
  </si>
  <si>
    <t xml:space="preserve">                                         UŽ TEIKIAMAS PASLAUGAS</t>
  </si>
  <si>
    <t xml:space="preserve">Eil.Nr.   </t>
  </si>
  <si>
    <t>Įstaiga</t>
  </si>
  <si>
    <t>Planuojama gauti pajamų už teikiamas paslaugas</t>
  </si>
  <si>
    <t>Iš to skaičiaus</t>
  </si>
  <si>
    <t>tėvų įnašai</t>
  </si>
  <si>
    <t>pajamos už turto nuomą</t>
  </si>
  <si>
    <t>kitos atsitiktinės pajamos</t>
  </si>
  <si>
    <t xml:space="preserve">Turto valdymo ir ūkio skyrius </t>
  </si>
  <si>
    <t>Viešoji biblioteka</t>
  </si>
  <si>
    <t>Rokiškio kaim. seniūnija</t>
  </si>
  <si>
    <t>Senamiesčio progimnazijos Laibgalių ikimokyklinio ir pradinio ugdymo sk.</t>
  </si>
  <si>
    <t>Juodupės gimnazijos neformaliojo švietimo sk.</t>
  </si>
  <si>
    <t>Kamajų gimnazijos ikimokyklinio ugdymo sk.</t>
  </si>
  <si>
    <t>Kamajų gimnazijos neformaliojo švietimo sk.</t>
  </si>
  <si>
    <t>Obelių ikimokykinio ir priešmokyklinio ugdymo sk.</t>
  </si>
  <si>
    <t>Obelių gimnazijos neformaliojo švietimo sk.</t>
  </si>
  <si>
    <t>Muzikos mokyklos choreografijos sk.</t>
  </si>
  <si>
    <t xml:space="preserve">Pandėlio universalus daugiafunkcis centras </t>
  </si>
  <si>
    <t xml:space="preserve">Panemunėlio universalus daugiafunkcis centras </t>
  </si>
  <si>
    <t>Kitos dotacijos einamiesiems tikslams (21+...+40)</t>
  </si>
  <si>
    <t>DOTACIJOS (12+15+20+41)</t>
  </si>
  <si>
    <t xml:space="preserve">IŠ VISO KITOMS TIKSLINĖMS DOTACIJOMS   (53+54+57+...64+67+70...73+75+78+81+82+85+...+88+91+99+..102)   </t>
  </si>
  <si>
    <t>Pastabos</t>
  </si>
  <si>
    <t>Projektas baigtas 2023 m. gegužės mėn. 2024 m. I ketv. reikės  už saulės  elektrinės priežiūrą 0,726 tūkst.  Eur SB lėšų ir  III ketv. ŠESD ataskaitos pirmų metų  tvirtinimui reikės 0,600 tūkst.  Eur SEB lėšų.</t>
  </si>
  <si>
    <t>2024 m numatomi projekto rangos darbai bei II–IV MP teikimas. II MP teikimui reikalingas SB prisidėjimas (21 proc.), III–IV MP SB prisidėjimas 21 proc. bei reikalingos apyvartinės lėšos. 2024 m. iš viso SB prisidėjimas – 46,43481 Eur, reikia apyvartai 43,67084 Eur. Projekto įgyvendinimo pabaiga – 2024-12.</t>
  </si>
  <si>
    <t xml:space="preserve">Projektas įgyvendinamas 2024–2025 m. Iš viso numatoma rekonstruoti apie 19,644 km melioracijos griovių ir 2 tiltus. 2024 m. numatomos bendrosios išlaidos (techninio darbo projekto, jo ekspertizės bei viešinimo darbų paslaugų pirkimai. III-IV ketv. – rangos darbų bei techninės priežiūros paslaugų pirkimai. </t>
  </si>
  <si>
    <t xml:space="preserve">2024 m. 04 mėn. pateikta paraiška. Paraiškos balų skaičius tinkamas teigiamam įvertinimui, laukiama NMA pranešimo dėl tolimesnių veiksmų. 2024 m. reikalingos lėšos  projekto techniniam darbo projektui parengti, jo ekspertizės paslaugos pirkimui- bei viešinimo paslaugų pirkimui. IV ketv. galimai gali prasidėti rangos darbų bei techninės priežiūros darbų pirkimas. SB prisidėjimas- 35 proc. </t>
  </si>
  <si>
    <t xml:space="preserve">Galimai JVS sutartis bus pasirašyta 2024 m. I ketvirtyje. Avansas (515,55281 tūkst. Eur) planuojamas taip pat 2024 m. I ketvirčiui. DU tiesioginės ir netiesioginės išlaidos į SB poreikį apyvartinėms lėšoms neįtrauktos. Apyvartinėms lėšoms reikalinga suma apskaičiuota pagal TŪM projekto 2024 m. viešųjų pirkimų  plano duomenis, tačiau dalis mokėjimų už paslaugas ir prekes gali būti nukelti ir į 2025 m. dėl užsitęstų viešųjų pirkimų procedūrų ar / ir vėliau nei planuota atliktų darbų ir / ar suteiktų paslaugų. </t>
  </si>
  <si>
    <t>Projekto veiklų vykdymo pabaiga 2026-03-30</t>
  </si>
  <si>
    <t xml:space="preserve">Projekto laikotarpis 2024–2026 m. </t>
  </si>
  <si>
    <t>Projekto laikotarpis – 2024–2025 m. Projekto įgyvendinimui reikės apyvartinių lėšų.</t>
  </si>
  <si>
    <t>Projekto laikotarpis – 2024–2025 m. Projekto įgyvendinimui reikės apyvartinių lėšų: 2024 m. 83,28700, 2025 m. – 21,50000.</t>
  </si>
  <si>
    <t>projektas Nr. 101156762 "Echoes of LT and LV" įgyvendinamas, finansavimo sutartis 2024 m. gegužės 8 d. Nr. VS-157</t>
  </si>
  <si>
    <t>0,21300 tūkst. Eur  (tinkamos finansuoti SB)  2024-05-14 pateikta paraiška savivaldybės administracijai.</t>
  </si>
  <si>
    <t xml:space="preserve">Projekto pabaiga partęsta iki 2024-03-22, SB lėšų dalis projektui kofinansuoti (59,532 tūkst. Eur) bus naudojama 2024 m. I ketv. </t>
  </si>
  <si>
    <t>Projekto pabaiga – 2025-05-01.</t>
  </si>
  <si>
    <t xml:space="preserve"> Projekto pabaiga – 2023 m. Planuoti 2023 m. 1,29000 tūkst. Eur bus panaudoti 2024 m.</t>
  </si>
  <si>
    <t xml:space="preserve">2024 m. suplanuotos  SB lėšos bus naudojamos apyvartinėms lėšoms projektui įgyvendinti, o atgavus lėšas iš programos,  lėšos bus sugrąžintos 2025 m.  Projekto sutartis bus pasirašyta 2024 m. sausio pabaigoje–vasario pradžioje. </t>
  </si>
  <si>
    <t>SB 2024 m. I ketv. paskolintos lėšos bus grąžintos iki 2024-12-31.</t>
  </si>
  <si>
    <t xml:space="preserve">Projekto vykdymo laikotarpis – 2022-04-27–2024-01-15 </t>
  </si>
  <si>
    <t>RRSA piniginių lėšų prisidėjimo nereikalaujama.  Projekto vertės tikslios nėra (ji priklauso nuo kortelių gavėjų skaičiaus), todėl suma bus tikslinama.</t>
  </si>
  <si>
    <t>2024 m. suplanuotos  SB lėšos bus naudojamos apyvartinėms lėšoms projektui įgyvendinti, o atgavus lėšas iš CPVA,  lėšos bus sugrąžintos.</t>
  </si>
  <si>
    <t>Sporto bazės, esančios J. Basanavičiau g. 3, Rokiškyje atnaujinimas</t>
  </si>
  <si>
    <t>projekto vykdytojas -Rokiškio rajono kūno kultūros ir sporto centras, partneris - Rokiškio r. savivaldybės administracija</t>
  </si>
  <si>
    <t>projektui skirtas finansavimas, rengiama finansavimo sutartis.</t>
  </si>
  <si>
    <t xml:space="preserve">Lengvatinės paskolos ir MF lėšos, SB lėšos – netinkamoms finansuoti neergetinio efektyvumo išlaidoms ir inžinerinėms paslaugoms. 2024 m. bus reikalingos SB lėšos : 105,71338 tūkst. Eur – lėšos sutarčiai vykdyti, 15,38908 tūks. Eur – lėšos gaisrinei signalizacijai, automatikai įrengti papildomai; 65,29058 tūkst. Eur papildomai vidaus patalpų remonto darbams, laiptų sienelės įrengimui.  </t>
  </si>
  <si>
    <r>
      <t xml:space="preserve">2024 m. numatyta teikti III–IV MP, kuriems bus reikalingas SB prisidėjimas (21 proc. – 22056,60 bei apyvartinės lėšos – </t>
    </r>
    <r>
      <rPr>
        <b/>
        <sz val="10"/>
        <rFont val="Times New Roman"/>
        <family val="1"/>
        <charset val="186"/>
      </rPr>
      <t>41490,00</t>
    </r>
    <r>
      <rPr>
        <sz val="10"/>
        <rFont val="Times New Roman"/>
        <family val="1"/>
        <charset val="186"/>
      </rPr>
      <t xml:space="preserve"> Eur. Projekto įgyvendinimo pabaiga –  2024-12.</t>
    </r>
  </si>
  <si>
    <t xml:space="preserve">Projekto laikotarpis – 2023-05-04–2024-09-30. Apyvartinėms projekto įgyvendinimo veikloms (EMP blankams ir eksploatacinėms medžiagoms įsigyti) 2024 m.  poreikis   7,1 tūkst. Eur skolintų savivaldybės lėšų, kurios bus grąžintos po 2024 m. rugsėjo  30 d. </t>
  </si>
  <si>
    <t>Projekto laikotarpis – 2022 m. balandžio mėn.–2024 m. kovo mėn. Lėšų suma 1,80155 panaudota 2024 m. Projekto ataskaita pateikta ir baigiama vertinti.</t>
  </si>
  <si>
    <t>Projekto veiklų pradžia 2024-02-01, SB lėšos reikalingos socialinio darbuotojo, individualios priežiūros specialisto ir socialinių dirbtuvių išlaikymui tinkamoms finansuoti išlaidoms apmokėti. 2024 m. lėšų poreikis iš savivaldybės mažesnis, nes projektas pradėtas vykdyti 2024-05-01, tačiau šių lėšų reiks 2025 m., nes projektas tęstinis, lėšų poreikis- 10,72470</t>
  </si>
  <si>
    <t>Savivaldybei perduotai įstaigai išlaikyti iš viso</t>
  </si>
  <si>
    <t xml:space="preserve"> 2024 m. birželio 27d.  sprendimo Nr. TS-226</t>
  </si>
  <si>
    <t xml:space="preserve">                                                                                                          2024 m. vasario 15 d. sprendimo Nr. TS-28</t>
  </si>
  <si>
    <t xml:space="preserve">                                                                                                         2 priedas</t>
  </si>
  <si>
    <t xml:space="preserve">                                                                                                        2024 m. biržželio  27d.  sprendimo Nr. TS-226</t>
  </si>
  <si>
    <t xml:space="preserve">                                                                                                        redakcija)</t>
  </si>
  <si>
    <t xml:space="preserve">                                                                                                         (Rokiškio rajono savivaldybės tarybos             </t>
  </si>
  <si>
    <t xml:space="preserve">                                                                 redakcija)</t>
  </si>
  <si>
    <t xml:space="preserve">                                                                                                                      2024 m. vasario 15 d. sprendimo Nr. TS-28</t>
  </si>
  <si>
    <t xml:space="preserve">                                                                                                               Rokiškio rajono savivaldybės tarybos </t>
  </si>
  <si>
    <t xml:space="preserve">                                                                 1 priedas</t>
  </si>
  <si>
    <t xml:space="preserve">                                                           ( Rokiškio rajono savivaldybės tarybos             </t>
  </si>
  <si>
    <t xml:space="preserve">       2024 m. birželio  27d.  sprendimo Nr. TS-226</t>
  </si>
  <si>
    <t>2024 m.birželio 27 d. sprendimo Nr.TS-226</t>
  </si>
  <si>
    <t>2024 m.birželio  27 d. sprendimo Nr.TS-226</t>
  </si>
  <si>
    <t xml:space="preserve">                        2024 m. birželio 27 d. sprendimo Nr.TS-226</t>
  </si>
  <si>
    <r>
      <t xml:space="preserve">                       </t>
    </r>
    <r>
      <rPr>
        <sz val="11"/>
        <rFont val="Times New Roman"/>
        <family val="1"/>
        <charset val="186"/>
      </rPr>
      <t>2024 m. birželio 27 d.  sprendimo Nr. TS-</t>
    </r>
    <r>
      <rPr>
        <sz val="10"/>
        <rFont val="Arial"/>
        <family val="2"/>
        <charset val="186"/>
      </rPr>
      <t>226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</si>
</sst>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00\ _L_t_-;\-* #,##0.00\ _L_t_-;_-* &quot;-&quot;??\ _L_t_-;_-@_-"/>
    <numFmt numFmtId="166" formatCode="0.000"/>
    <numFmt numFmtId="167" formatCode="0.0000"/>
    <numFmt numFmtId="168" formatCode="0.00000"/>
    <numFmt numFmtId="169" formatCode="0.0"/>
  </numFmts>
  <fonts count="51"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Times New Roman"/>
      <family val="1"/>
      <charset val="186"/>
    </font>
    <font>
      <b/>
      <sz val="12"/>
      <name val="Times New Roman"/>
      <family val="1"/>
      <charset val="186"/>
    </font>
    <font>
      <sz val="10"/>
      <name val="Times New Roman"/>
      <family val="1"/>
      <charset val="186"/>
    </font>
    <font>
      <sz val="8"/>
      <name val="Arial"/>
      <family val="2"/>
      <charset val="186"/>
    </font>
    <font>
      <sz val="10"/>
      <name val="Arial"/>
      <family val="2"/>
      <charset val="186"/>
    </font>
    <font>
      <b/>
      <sz val="10"/>
      <name val="Arial"/>
      <family val="2"/>
      <charset val="186"/>
    </font>
    <font>
      <b/>
      <sz val="8"/>
      <name val="Arial"/>
      <family val="2"/>
      <charset val="186"/>
    </font>
    <font>
      <sz val="9"/>
      <name val="Arial"/>
      <family val="2"/>
      <charset val="186"/>
    </font>
    <font>
      <i/>
      <sz val="10"/>
      <name val="Arial"/>
      <family val="2"/>
      <charset val="186"/>
    </font>
    <font>
      <b/>
      <sz val="9"/>
      <name val="Arial"/>
      <family val="2"/>
      <charset val="186"/>
    </font>
    <font>
      <b/>
      <sz val="12"/>
      <name val="Arial"/>
      <family val="2"/>
      <charset val="186"/>
    </font>
    <font>
      <sz val="10"/>
      <color indexed="10"/>
      <name val="Arial"/>
      <family val="2"/>
      <charset val="186"/>
    </font>
    <font>
      <b/>
      <sz val="11"/>
      <name val="Arial"/>
      <family val="2"/>
      <charset val="186"/>
    </font>
    <font>
      <i/>
      <sz val="9"/>
      <name val="Arial"/>
      <family val="2"/>
      <charset val="186"/>
    </font>
    <font>
      <sz val="10"/>
      <color indexed="8"/>
      <name val="Arial"/>
      <family val="2"/>
    </font>
    <font>
      <sz val="10"/>
      <color indexed="8"/>
      <name val="Arial"/>
      <family val="2"/>
      <charset val="186"/>
    </font>
    <font>
      <b/>
      <sz val="11"/>
      <name val="Times New Roman"/>
      <family val="1"/>
      <charset val="186"/>
    </font>
    <font>
      <sz val="11"/>
      <color theme="1"/>
      <name val="Calibri"/>
      <family val="2"/>
      <charset val="186"/>
      <scheme val="minor"/>
    </font>
    <font>
      <sz val="10"/>
      <color rgb="FF000000"/>
      <name val="Arial"/>
      <family val="2"/>
      <charset val="186"/>
    </font>
    <font>
      <i/>
      <sz val="12"/>
      <name val="Times New Roman"/>
      <family val="1"/>
      <charset val="186"/>
    </font>
    <font>
      <sz val="12"/>
      <color theme="1"/>
      <name val="Times New Roman"/>
      <family val="1"/>
      <charset val="186"/>
    </font>
    <font>
      <sz val="11"/>
      <name val="Arial"/>
      <family val="2"/>
      <charset val="186"/>
    </font>
    <font>
      <b/>
      <sz val="10"/>
      <name val="Times New Roman"/>
      <family val="1"/>
      <charset val="186"/>
    </font>
    <font>
      <b/>
      <i/>
      <sz val="12"/>
      <name val="Times New Roman"/>
      <family val="1"/>
      <charset val="186"/>
    </font>
    <font>
      <sz val="8"/>
      <name val="Times New Roman"/>
      <family val="1"/>
      <charset val="186"/>
    </font>
    <font>
      <sz val="11"/>
      <name val="Times New Roman"/>
      <family val="1"/>
      <charset val="186"/>
    </font>
    <font>
      <b/>
      <sz val="11"/>
      <color rgb="FFFF0000"/>
      <name val="Arial"/>
      <family val="2"/>
      <charset val="186"/>
    </font>
    <font>
      <sz val="11"/>
      <color rgb="FF9C5700"/>
      <name val="Calibri"/>
      <family val="2"/>
      <charset val="186"/>
      <scheme val="minor"/>
    </font>
    <font>
      <sz val="11"/>
      <color indexed="8"/>
      <name val="Calibri"/>
      <family val="2"/>
      <charset val="186"/>
    </font>
    <font>
      <sz val="11"/>
      <color rgb="FFFF0000"/>
      <name val="Times New Roman"/>
      <family val="1"/>
      <charset val="186"/>
    </font>
    <font>
      <sz val="10"/>
      <color rgb="FF0070C0"/>
      <name val="Times New Roman"/>
      <family val="1"/>
      <charset val="186"/>
    </font>
    <font>
      <sz val="12"/>
      <name val="Arial"/>
      <family val="2"/>
      <charset val="186"/>
    </font>
    <font>
      <b/>
      <i/>
      <sz val="11"/>
      <name val="Times New Roman"/>
      <family val="1"/>
      <charset val="186"/>
    </font>
    <font>
      <i/>
      <sz val="11"/>
      <name val="Times New Roman"/>
      <family val="1"/>
      <charset val="186"/>
    </font>
    <font>
      <i/>
      <sz val="11"/>
      <color rgb="FFFF0000"/>
      <name val="Times New Roman"/>
      <family val="1"/>
      <charset val="186"/>
    </font>
    <font>
      <i/>
      <sz val="10"/>
      <name val="Times New Roman"/>
      <family val="1"/>
      <charset val="186"/>
    </font>
    <font>
      <b/>
      <sz val="11"/>
      <color theme="1"/>
      <name val="Times New Roman"/>
      <family val="1"/>
      <charset val="186"/>
    </font>
    <font>
      <b/>
      <sz val="11"/>
      <color rgb="FFFF0000"/>
      <name val="Times New Roman"/>
      <family val="1"/>
      <charset val="186"/>
    </font>
    <font>
      <b/>
      <u/>
      <sz val="11"/>
      <name val="Times New Roman"/>
      <family val="1"/>
      <charset val="186"/>
    </font>
    <font>
      <sz val="10"/>
      <name val="Arial"/>
      <family val="2"/>
      <charset val="186"/>
    </font>
    <font>
      <b/>
      <i/>
      <sz val="10"/>
      <name val="Times New Roman"/>
      <family val="1"/>
      <charset val="186"/>
    </font>
    <font>
      <sz val="9"/>
      <name val="Times New Roman"/>
      <family val="1"/>
      <charset val="186"/>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EB9C"/>
      </patternFill>
    </fill>
    <fill>
      <patternFill patternType="solid">
        <fgColor theme="6" tint="0.79998168889431442"/>
        <bgColor indexed="64"/>
      </patternFill>
    </fill>
    <fill>
      <patternFill patternType="solid">
        <fgColor theme="2" tint="-9.9978637043366805E-2"/>
        <bgColor indexed="64"/>
      </patternFill>
    </fill>
  </fills>
  <borders count="170">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style="thin">
        <color indexed="8"/>
      </right>
      <top style="thin">
        <color indexed="8"/>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thin">
        <color indexed="0"/>
      </bottom>
      <diagonal/>
    </border>
    <border>
      <left style="medium">
        <color indexed="64"/>
      </left>
      <right/>
      <top/>
      <bottom/>
      <diagonal/>
    </border>
    <border>
      <left/>
      <right/>
      <top style="medium">
        <color indexed="64"/>
      </top>
      <bottom style="thin">
        <color indexed="64"/>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right style="thin">
        <color indexed="8"/>
      </right>
      <top style="medium">
        <color indexed="64"/>
      </top>
      <bottom style="thin">
        <color indexed="8"/>
      </bottom>
      <diagonal/>
    </border>
    <border>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medium">
        <color indexed="64"/>
      </right>
      <top/>
      <bottom style="thin">
        <color indexed="0"/>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0"/>
      </top>
      <bottom style="thin">
        <color indexed="0"/>
      </bottom>
      <diagonal/>
    </border>
    <border>
      <left style="medium">
        <color indexed="64"/>
      </left>
      <right/>
      <top style="thin">
        <color indexed="0"/>
      </top>
      <bottom/>
      <diagonal/>
    </border>
    <border>
      <left style="medium">
        <color indexed="64"/>
      </left>
      <right/>
      <top style="thin">
        <color indexed="0"/>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0"/>
      </bottom>
      <diagonal/>
    </border>
    <border>
      <left/>
      <right/>
      <top style="thin">
        <color indexed="64"/>
      </top>
      <bottom style="thin">
        <color indexed="64"/>
      </bottom>
      <diagonal/>
    </border>
    <border>
      <left style="medium">
        <color indexed="64"/>
      </left>
      <right style="medium">
        <color indexed="64"/>
      </right>
      <top style="thin">
        <color indexed="0"/>
      </top>
      <bottom style="thin">
        <color indexed="0"/>
      </bottom>
      <diagonal/>
    </border>
    <border>
      <left style="medium">
        <color indexed="64"/>
      </left>
      <right style="medium">
        <color indexed="64"/>
      </right>
      <top style="thin">
        <color indexed="0"/>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bottom/>
      <diagonal/>
    </border>
    <border>
      <left style="medium">
        <color indexed="64"/>
      </left>
      <right/>
      <top style="thin">
        <color indexed="0"/>
      </top>
      <bottom style="thin">
        <color indexed="0"/>
      </bottom>
      <diagonal/>
    </border>
    <border>
      <left style="medium">
        <color indexed="64"/>
      </left>
      <right style="medium">
        <color indexed="64"/>
      </right>
      <top style="thin">
        <color indexed="0"/>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0"/>
      </bottom>
      <diagonal/>
    </border>
    <border>
      <left style="medium">
        <color indexed="64"/>
      </left>
      <right style="medium">
        <color indexed="64"/>
      </right>
      <top style="thin">
        <color indexed="0"/>
      </top>
      <bottom style="thin">
        <color indexed="64"/>
      </bottom>
      <diagonal/>
    </border>
    <border>
      <left/>
      <right style="medium">
        <color indexed="64"/>
      </right>
      <top/>
      <bottom style="thin">
        <color indexed="0"/>
      </bottom>
      <diagonal/>
    </border>
    <border>
      <left/>
      <right style="medium">
        <color indexed="64"/>
      </right>
      <top style="thin">
        <color indexed="0"/>
      </top>
      <bottom style="thin">
        <color indexed="0"/>
      </bottom>
      <diagonal/>
    </border>
    <border>
      <left/>
      <right style="medium">
        <color indexed="64"/>
      </right>
      <top style="thin">
        <color indexed="0"/>
      </top>
      <bottom/>
      <diagonal/>
    </border>
    <border>
      <left style="medium">
        <color indexed="64"/>
      </left>
      <right/>
      <top style="medium">
        <color indexed="64"/>
      </top>
      <bottom style="thin">
        <color indexed="0"/>
      </bottom>
      <diagonal/>
    </border>
    <border>
      <left/>
      <right style="medium">
        <color indexed="64"/>
      </right>
      <top style="medium">
        <color indexed="64"/>
      </top>
      <bottom style="thin">
        <color indexed="0"/>
      </bottom>
      <diagonal/>
    </border>
    <border>
      <left style="medium">
        <color indexed="64"/>
      </left>
      <right style="medium">
        <color indexed="64"/>
      </right>
      <top/>
      <bottom style="medium">
        <color indexed="0"/>
      </bottom>
      <diagonal/>
    </border>
    <border>
      <left style="thin">
        <color indexed="64"/>
      </left>
      <right style="medium">
        <color indexed="64"/>
      </right>
      <top style="thin">
        <color indexed="0"/>
      </top>
      <bottom style="thin">
        <color indexed="0"/>
      </bottom>
      <diagonal/>
    </border>
    <border>
      <left/>
      <right/>
      <top style="medium">
        <color indexed="64"/>
      </top>
      <bottom/>
      <diagonal/>
    </border>
    <border>
      <left/>
      <right/>
      <top/>
      <bottom style="medium">
        <color indexed="64"/>
      </bottom>
      <diagonal/>
    </border>
    <border>
      <left/>
      <right/>
      <top style="thin">
        <color indexed="0"/>
      </top>
      <bottom style="thin">
        <color indexed="0"/>
      </bottom>
      <diagonal/>
    </border>
    <border>
      <left/>
      <right/>
      <top style="thin">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medium">
        <color indexed="64"/>
      </left>
      <right style="medium">
        <color indexed="64"/>
      </right>
      <top style="thin">
        <color indexed="0"/>
      </top>
      <bottom style="thin">
        <color indexed="0"/>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0"/>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0"/>
      </bottom>
      <diagonal/>
    </border>
    <border>
      <left style="medium">
        <color indexed="64"/>
      </left>
      <right style="medium">
        <color indexed="64"/>
      </right>
      <top/>
      <bottom style="thin">
        <color indexed="0"/>
      </bottom>
      <diagonal/>
    </border>
    <border>
      <left/>
      <right style="medium">
        <color indexed="64"/>
      </right>
      <top style="thin">
        <color indexed="64"/>
      </top>
      <bottom/>
      <diagonal/>
    </border>
    <border>
      <left/>
      <right/>
      <top/>
      <bottom style="thin">
        <color indexed="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0"/>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style="medium">
        <color indexed="64"/>
      </left>
      <right style="thin">
        <color indexed="64"/>
      </right>
      <top style="thin">
        <color indexed="0"/>
      </top>
      <bottom style="thin">
        <color indexed="0"/>
      </bottom>
      <diagonal/>
    </border>
    <border>
      <left style="thin">
        <color rgb="FF000000"/>
      </left>
      <right style="thin">
        <color indexed="64"/>
      </right>
      <top style="thin">
        <color auto="1"/>
      </top>
      <bottom style="thin">
        <color indexed="64"/>
      </bottom>
      <diagonal/>
    </border>
    <border>
      <left style="thin">
        <color auto="1"/>
      </left>
      <right style="thin">
        <color indexed="64"/>
      </right>
      <top style="thin">
        <color indexed="64"/>
      </top>
      <bottom style="thin">
        <color auto="1"/>
      </bottom>
      <diagonal/>
    </border>
    <border>
      <left style="thin">
        <color rgb="FF000000"/>
      </left>
      <right style="thin">
        <color rgb="FF000000"/>
      </right>
      <top style="thin">
        <color auto="1"/>
      </top>
      <bottom style="medium">
        <color auto="1"/>
      </bottom>
      <diagonal/>
    </border>
    <border>
      <left style="thin">
        <color auto="1"/>
      </left>
      <right style="thin">
        <color auto="1"/>
      </right>
      <top/>
      <bottom style="thin">
        <color auto="1"/>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10415">
    <xf numFmtId="0" fontId="0" fillId="0" borderId="0"/>
    <xf numFmtId="0" fontId="23" fillId="0" borderId="0"/>
    <xf numFmtId="0" fontId="27" fillId="0" borderId="0"/>
    <xf numFmtId="0" fontId="24" fillId="0" borderId="0"/>
    <xf numFmtId="0" fontId="13" fillId="0" borderId="0"/>
    <xf numFmtId="0" fontId="27" fillId="0" borderId="0"/>
    <xf numFmtId="0" fontId="27" fillId="0" borderId="0"/>
    <xf numFmtId="0" fontId="27" fillId="0" borderId="0"/>
    <xf numFmtId="0" fontId="26" fillId="0" borderId="0"/>
    <xf numFmtId="0" fontId="13"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165" fontId="13" fillId="0" borderId="0" applyFont="0" applyFill="0" applyBorder="0" applyAlignment="0" applyProtection="0"/>
    <xf numFmtId="165" fontId="13"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13" fillId="0" borderId="0" applyFont="0" applyFill="0" applyBorder="0" applyAlignment="0" applyProtection="0"/>
    <xf numFmtId="165" fontId="1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48" fillId="0" borderId="0" applyFont="0" applyFill="0" applyBorder="0" applyAlignment="0" applyProtection="0"/>
    <xf numFmtId="0" fontId="13" fillId="0" borderId="0"/>
    <xf numFmtId="0" fontId="13" fillId="0" borderId="0"/>
  </cellStyleXfs>
  <cellXfs count="954">
    <xf numFmtId="0" fontId="0" fillId="0" borderId="0" xfId="0"/>
    <xf numFmtId="0" fontId="9" fillId="0" borderId="0" xfId="0" applyFont="1"/>
    <xf numFmtId="0" fontId="10" fillId="0" borderId="0" xfId="0" applyFont="1"/>
    <xf numFmtId="0" fontId="15" fillId="0" borderId="0" xfId="0" applyFont="1"/>
    <xf numFmtId="16" fontId="0" fillId="0" borderId="0" xfId="0" applyNumberFormat="1"/>
    <xf numFmtId="0" fontId="14" fillId="0" borderId="0" xfId="0" applyFont="1"/>
    <xf numFmtId="0" fontId="13" fillId="0" borderId="0" xfId="0" applyFont="1"/>
    <xf numFmtId="166" fontId="0" fillId="3" borderId="1" xfId="0" applyNumberFormat="1" applyFill="1" applyBorder="1"/>
    <xf numFmtId="0" fontId="12" fillId="0" borderId="0" xfId="0" applyFont="1"/>
    <xf numFmtId="0" fontId="13" fillId="0" borderId="5" xfId="9" applyBorder="1" applyAlignment="1">
      <alignment horizontal="left" vertical="center" wrapText="1"/>
    </xf>
    <xf numFmtId="166" fontId="13" fillId="0" borderId="6" xfId="0" applyNumberFormat="1" applyFont="1" applyBorder="1"/>
    <xf numFmtId="0" fontId="13" fillId="0" borderId="2" xfId="9" applyBorder="1" applyAlignment="1">
      <alignment horizontal="center" vertical="center" wrapText="1"/>
    </xf>
    <xf numFmtId="166" fontId="13" fillId="0" borderId="7" xfId="0" applyNumberFormat="1" applyFont="1" applyBorder="1"/>
    <xf numFmtId="166" fontId="13" fillId="0" borderId="3" xfId="9" applyNumberFormat="1" applyBorder="1" applyAlignment="1">
      <alignment horizontal="right" vertical="center" wrapText="1"/>
    </xf>
    <xf numFmtId="0" fontId="13" fillId="0" borderId="5" xfId="0" applyFont="1" applyBorder="1"/>
    <xf numFmtId="166" fontId="13" fillId="0" borderId="3" xfId="0" applyNumberFormat="1" applyFont="1" applyBorder="1"/>
    <xf numFmtId="0" fontId="13" fillId="0" borderId="3" xfId="9" applyBorder="1" applyAlignment="1">
      <alignment horizontal="right" vertical="center" wrapText="1"/>
    </xf>
    <xf numFmtId="0" fontId="14" fillId="0" borderId="5" xfId="0" applyFont="1" applyBorder="1"/>
    <xf numFmtId="166" fontId="14" fillId="0" borderId="6" xfId="0" applyNumberFormat="1" applyFont="1" applyBorder="1"/>
    <xf numFmtId="166" fontId="14" fillId="0" borderId="3" xfId="0" applyNumberFormat="1" applyFont="1" applyBorder="1"/>
    <xf numFmtId="166" fontId="14" fillId="0" borderId="2" xfId="0" applyNumberFormat="1" applyFont="1" applyBorder="1"/>
    <xf numFmtId="166" fontId="14" fillId="0" borderId="7" xfId="0" applyNumberFormat="1" applyFont="1" applyBorder="1"/>
    <xf numFmtId="166" fontId="14" fillId="0" borderId="1" xfId="0" applyNumberFormat="1" applyFont="1" applyBorder="1"/>
    <xf numFmtId="166" fontId="13" fillId="0" borderId="2" xfId="0" applyNumberFormat="1" applyFont="1" applyBorder="1"/>
    <xf numFmtId="166" fontId="13" fillId="0" borderId="1" xfId="0" applyNumberFormat="1" applyFont="1" applyBorder="1"/>
    <xf numFmtId="166" fontId="14" fillId="2" borderId="3" xfId="0" applyNumberFormat="1" applyFont="1" applyFill="1" applyBorder="1"/>
    <xf numFmtId="0" fontId="14" fillId="0" borderId="5" xfId="0" applyFont="1" applyBorder="1" applyAlignment="1">
      <alignment wrapText="1"/>
    </xf>
    <xf numFmtId="166" fontId="14" fillId="0" borderId="8" xfId="0" applyNumberFormat="1" applyFont="1" applyBorder="1"/>
    <xf numFmtId="166" fontId="14" fillId="0" borderId="9" xfId="0" applyNumberFormat="1" applyFont="1" applyBorder="1"/>
    <xf numFmtId="166" fontId="13" fillId="0" borderId="10" xfId="0" applyNumberFormat="1" applyFont="1" applyBorder="1"/>
    <xf numFmtId="166" fontId="14" fillId="3" borderId="7" xfId="0" applyNumberFormat="1" applyFont="1" applyFill="1" applyBorder="1"/>
    <xf numFmtId="0" fontId="17" fillId="2" borderId="5" xfId="0" applyFont="1" applyFill="1" applyBorder="1"/>
    <xf numFmtId="0" fontId="17" fillId="0" borderId="5" xfId="0" applyFont="1" applyBorder="1"/>
    <xf numFmtId="166" fontId="14" fillId="0" borderId="7" xfId="0" applyNumberFormat="1" applyFont="1" applyBorder="1" applyAlignment="1">
      <alignment vertical="top" wrapText="1"/>
    </xf>
    <xf numFmtId="0" fontId="14" fillId="0" borderId="11" xfId="0" applyFont="1" applyBorder="1"/>
    <xf numFmtId="166" fontId="14" fillId="0" borderId="12" xfId="0" applyNumberFormat="1" applyFont="1" applyBorder="1"/>
    <xf numFmtId="166" fontId="14" fillId="0" borderId="13" xfId="0" applyNumberFormat="1" applyFont="1" applyBorder="1"/>
    <xf numFmtId="166" fontId="14" fillId="0" borderId="14" xfId="0" applyNumberFormat="1" applyFont="1" applyBorder="1"/>
    <xf numFmtId="166" fontId="14" fillId="0" borderId="15" xfId="0" applyNumberFormat="1" applyFont="1" applyBorder="1"/>
    <xf numFmtId="166" fontId="14" fillId="0" borderId="16" xfId="0" applyNumberFormat="1" applyFont="1" applyBorder="1"/>
    <xf numFmtId="166" fontId="13" fillId="0" borderId="14" xfId="0" applyNumberFormat="1" applyFont="1" applyBorder="1"/>
    <xf numFmtId="166" fontId="13" fillId="0" borderId="15" xfId="0" applyNumberFormat="1" applyFont="1" applyBorder="1"/>
    <xf numFmtId="166" fontId="13" fillId="0" borderId="13" xfId="0" applyNumberFormat="1" applyFont="1" applyBorder="1"/>
    <xf numFmtId="166" fontId="13" fillId="0" borderId="16" xfId="0" applyNumberFormat="1" applyFont="1" applyBorder="1"/>
    <xf numFmtId="166" fontId="14" fillId="0" borderId="17" xfId="0" applyNumberFormat="1" applyFont="1" applyBorder="1"/>
    <xf numFmtId="0" fontId="14" fillId="0" borderId="5" xfId="0" applyFont="1" applyBorder="1" applyAlignment="1">
      <alignment horizontal="left"/>
    </xf>
    <xf numFmtId="0" fontId="14" fillId="2" borderId="5" xfId="0" applyFont="1" applyFill="1" applyBorder="1"/>
    <xf numFmtId="0" fontId="14" fillId="0" borderId="18" xfId="0" applyFont="1" applyBorder="1"/>
    <xf numFmtId="166" fontId="14" fillId="0" borderId="19" xfId="0" applyNumberFormat="1" applyFont="1" applyBorder="1"/>
    <xf numFmtId="166" fontId="14" fillId="0" borderId="20" xfId="0" applyNumberFormat="1" applyFont="1" applyBorder="1"/>
    <xf numFmtId="166" fontId="13" fillId="0" borderId="21" xfId="0" applyNumberFormat="1" applyFont="1" applyBorder="1"/>
    <xf numFmtId="166" fontId="14" fillId="0" borderId="21" xfId="0" applyNumberFormat="1" applyFont="1" applyBorder="1"/>
    <xf numFmtId="166" fontId="14" fillId="0" borderId="25" xfId="0" applyNumberFormat="1" applyFont="1" applyBorder="1"/>
    <xf numFmtId="166" fontId="14" fillId="3" borderId="26" xfId="0" applyNumberFormat="1" applyFont="1" applyFill="1" applyBorder="1"/>
    <xf numFmtId="166" fontId="14" fillId="0" borderId="27" xfId="0" applyNumberFormat="1" applyFont="1" applyBorder="1"/>
    <xf numFmtId="166" fontId="14" fillId="0" borderId="28" xfId="0" applyNumberFormat="1" applyFont="1" applyBorder="1"/>
    <xf numFmtId="166" fontId="14" fillId="0" borderId="29" xfId="0" applyNumberFormat="1" applyFont="1" applyBorder="1"/>
    <xf numFmtId="166" fontId="14" fillId="0" borderId="26" xfId="0" applyNumberFormat="1" applyFont="1" applyBorder="1"/>
    <xf numFmtId="166" fontId="14" fillId="3" borderId="29" xfId="0" applyNumberFormat="1" applyFont="1" applyFill="1" applyBorder="1"/>
    <xf numFmtId="0" fontId="20" fillId="0" borderId="0" xfId="0" applyFont="1"/>
    <xf numFmtId="0" fontId="13" fillId="0" borderId="30" xfId="9" applyBorder="1" applyAlignment="1">
      <alignment horizontal="center" vertical="center" wrapText="1"/>
    </xf>
    <xf numFmtId="0" fontId="16" fillId="0" borderId="30" xfId="9" applyFont="1" applyBorder="1" applyAlignment="1">
      <alignment horizontal="center" vertical="center" wrapText="1"/>
    </xf>
    <xf numFmtId="0" fontId="0" fillId="0" borderId="23" xfId="0" applyBorder="1" applyAlignment="1">
      <alignment vertical="top"/>
    </xf>
    <xf numFmtId="0" fontId="21" fillId="0" borderId="23" xfId="0" applyFont="1" applyBorder="1" applyAlignment="1">
      <alignment wrapText="1"/>
    </xf>
    <xf numFmtId="166" fontId="14" fillId="0" borderId="31" xfId="0" applyNumberFormat="1" applyFont="1" applyBorder="1"/>
    <xf numFmtId="166" fontId="14" fillId="0" borderId="32" xfId="0" applyNumberFormat="1" applyFont="1" applyBorder="1"/>
    <xf numFmtId="166" fontId="14" fillId="0" borderId="24" xfId="0" applyNumberFormat="1" applyFont="1" applyBorder="1"/>
    <xf numFmtId="0" fontId="0" fillId="0" borderId="33" xfId="0" applyBorder="1" applyAlignment="1">
      <alignment vertical="top"/>
    </xf>
    <xf numFmtId="0" fontId="14" fillId="0" borderId="33" xfId="9" applyFont="1" applyBorder="1" applyAlignment="1">
      <alignment horizontal="left" vertical="center" wrapText="1"/>
    </xf>
    <xf numFmtId="166" fontId="14" fillId="0" borderId="34" xfId="0" applyNumberFormat="1" applyFont="1" applyBorder="1"/>
    <xf numFmtId="0" fontId="13" fillId="0" borderId="35" xfId="9" applyBorder="1" applyAlignment="1">
      <alignment horizontal="center" vertical="center" wrapText="1"/>
    </xf>
    <xf numFmtId="166" fontId="14" fillId="0" borderId="36" xfId="9" applyNumberFormat="1" applyFont="1" applyBorder="1" applyAlignment="1">
      <alignment horizontal="right" vertical="center" wrapText="1"/>
    </xf>
    <xf numFmtId="166" fontId="14" fillId="0" borderId="37" xfId="9" applyNumberFormat="1" applyFont="1" applyBorder="1" applyAlignment="1">
      <alignment horizontal="right" vertical="center" wrapText="1"/>
    </xf>
    <xf numFmtId="166" fontId="14" fillId="0" borderId="38" xfId="9" applyNumberFormat="1" applyFont="1" applyBorder="1" applyAlignment="1">
      <alignment horizontal="right" vertical="center" wrapText="1"/>
    </xf>
    <xf numFmtId="166" fontId="14" fillId="0" borderId="37" xfId="0" applyNumberFormat="1" applyFont="1" applyBorder="1"/>
    <xf numFmtId="166" fontId="14" fillId="0" borderId="35" xfId="0" applyNumberFormat="1" applyFont="1" applyBorder="1"/>
    <xf numFmtId="166" fontId="14" fillId="0" borderId="36" xfId="0" applyNumberFormat="1" applyFont="1" applyBorder="1"/>
    <xf numFmtId="166" fontId="14" fillId="0" borderId="38" xfId="0" applyNumberFormat="1" applyFont="1" applyBorder="1"/>
    <xf numFmtId="166" fontId="14" fillId="0" borderId="39" xfId="0" applyNumberFormat="1" applyFont="1" applyBorder="1"/>
    <xf numFmtId="166" fontId="14" fillId="0" borderId="40" xfId="0" applyNumberFormat="1" applyFont="1" applyBorder="1"/>
    <xf numFmtId="166" fontId="14" fillId="0" borderId="41" xfId="0" applyNumberFormat="1" applyFont="1" applyBorder="1"/>
    <xf numFmtId="0" fontId="14" fillId="0" borderId="33" xfId="0" applyFont="1" applyBorder="1"/>
    <xf numFmtId="0" fontId="0" fillId="0" borderId="5" xfId="0" applyBorder="1" applyAlignment="1">
      <alignment vertical="top"/>
    </xf>
    <xf numFmtId="166" fontId="0" fillId="2" borderId="3" xfId="0" applyNumberFormat="1" applyFill="1" applyBorder="1"/>
    <xf numFmtId="166" fontId="0" fillId="0" borderId="1" xfId="0" applyNumberFormat="1" applyBorder="1"/>
    <xf numFmtId="166" fontId="0" fillId="0" borderId="3" xfId="0" applyNumberFormat="1" applyBorder="1"/>
    <xf numFmtId="166" fontId="0" fillId="0" borderId="2" xfId="0" applyNumberFormat="1" applyBorder="1"/>
    <xf numFmtId="166" fontId="0" fillId="0" borderId="7" xfId="0" applyNumberFormat="1" applyBorder="1"/>
    <xf numFmtId="166" fontId="14" fillId="0" borderId="10" xfId="0" applyNumberFormat="1" applyFont="1" applyBorder="1"/>
    <xf numFmtId="166" fontId="0" fillId="0" borderId="9" xfId="0" applyNumberFormat="1" applyBorder="1"/>
    <xf numFmtId="166" fontId="19" fillId="0" borderId="7" xfId="0" applyNumberFormat="1" applyFont="1" applyBorder="1"/>
    <xf numFmtId="166" fontId="0" fillId="0" borderId="6" xfId="0" applyNumberFormat="1" applyBorder="1"/>
    <xf numFmtId="166" fontId="0" fillId="0" borderId="10" xfId="0" applyNumberFormat="1" applyBorder="1"/>
    <xf numFmtId="0" fontId="22" fillId="0" borderId="5" xfId="0" applyFont="1" applyBorder="1" applyAlignment="1">
      <alignment wrapText="1"/>
    </xf>
    <xf numFmtId="166" fontId="0" fillId="0" borderId="8" xfId="0" applyNumberFormat="1" applyBorder="1"/>
    <xf numFmtId="0" fontId="17" fillId="0" borderId="5" xfId="0" applyFont="1" applyBorder="1" applyAlignment="1">
      <alignment wrapText="1"/>
    </xf>
    <xf numFmtId="0" fontId="0" fillId="0" borderId="5" xfId="0" applyBorder="1"/>
    <xf numFmtId="0" fontId="0" fillId="0" borderId="18" xfId="0" applyBorder="1" applyAlignment="1">
      <alignment vertical="top"/>
    </xf>
    <xf numFmtId="166" fontId="0" fillId="0" borderId="24" xfId="0" applyNumberFormat="1" applyBorder="1"/>
    <xf numFmtId="166" fontId="14" fillId="0" borderId="42" xfId="0" applyNumberFormat="1" applyFont="1" applyBorder="1"/>
    <xf numFmtId="166" fontId="0" fillId="0" borderId="35" xfId="0" applyNumberFormat="1" applyBorder="1"/>
    <xf numFmtId="166" fontId="14" fillId="0" borderId="4" xfId="0" applyNumberFormat="1" applyFont="1" applyBorder="1"/>
    <xf numFmtId="166" fontId="14" fillId="0" borderId="43" xfId="0" applyNumberFormat="1" applyFont="1" applyBorder="1"/>
    <xf numFmtId="166" fontId="0" fillId="0" borderId="44" xfId="0" applyNumberFormat="1" applyBorder="1"/>
    <xf numFmtId="166" fontId="0" fillId="0" borderId="41" xfId="0" applyNumberFormat="1" applyBorder="1"/>
    <xf numFmtId="166" fontId="14" fillId="0" borderId="45" xfId="0" applyNumberFormat="1" applyFont="1" applyBorder="1"/>
    <xf numFmtId="166" fontId="0" fillId="0" borderId="46" xfId="0" applyNumberFormat="1" applyBorder="1"/>
    <xf numFmtId="166" fontId="0" fillId="0" borderId="39" xfId="0" applyNumberFormat="1" applyBorder="1"/>
    <xf numFmtId="166" fontId="0" fillId="0" borderId="37" xfId="0" applyNumberFormat="1" applyBorder="1"/>
    <xf numFmtId="166" fontId="0" fillId="0" borderId="47" xfId="0" applyNumberFormat="1" applyBorder="1"/>
    <xf numFmtId="0" fontId="22" fillId="0" borderId="5" xfId="0" applyFont="1" applyBorder="1"/>
    <xf numFmtId="0" fontId="0" fillId="0" borderId="11" xfId="0" applyBorder="1" applyAlignment="1">
      <alignment vertical="top"/>
    </xf>
    <xf numFmtId="166" fontId="0" fillId="0" borderId="20" xfId="0" applyNumberFormat="1" applyBorder="1"/>
    <xf numFmtId="166" fontId="0" fillId="0" borderId="19" xfId="0" applyNumberFormat="1" applyBorder="1"/>
    <xf numFmtId="166" fontId="0" fillId="0" borderId="21" xfId="0" applyNumberFormat="1" applyBorder="1"/>
    <xf numFmtId="166" fontId="0" fillId="0" borderId="48" xfId="0" applyNumberFormat="1" applyBorder="1"/>
    <xf numFmtId="166" fontId="13" fillId="0" borderId="19" xfId="0" applyNumberFormat="1" applyFont="1" applyBorder="1"/>
    <xf numFmtId="166" fontId="14" fillId="3" borderId="31" xfId="0" applyNumberFormat="1" applyFont="1" applyFill="1" applyBorder="1"/>
    <xf numFmtId="166" fontId="14" fillId="3" borderId="25" xfId="0" applyNumberFormat="1" applyFont="1" applyFill="1" applyBorder="1"/>
    <xf numFmtId="166" fontId="0" fillId="0" borderId="29" xfId="0" applyNumberFormat="1" applyBorder="1"/>
    <xf numFmtId="166" fontId="0" fillId="0" borderId="25" xfId="0" applyNumberFormat="1" applyBorder="1"/>
    <xf numFmtId="0" fontId="14" fillId="0" borderId="49" xfId="0" applyFont="1" applyBorder="1" applyAlignment="1">
      <alignment wrapText="1"/>
    </xf>
    <xf numFmtId="166" fontId="14" fillId="0" borderId="50" xfId="0" applyNumberFormat="1" applyFont="1" applyBorder="1"/>
    <xf numFmtId="166" fontId="0" fillId="0" borderId="40" xfId="0" applyNumberFormat="1" applyBorder="1"/>
    <xf numFmtId="166" fontId="14" fillId="3" borderId="3" xfId="0" applyNumberFormat="1" applyFont="1" applyFill="1" applyBorder="1"/>
    <xf numFmtId="166" fontId="13" fillId="3" borderId="7" xfId="0" applyNumberFormat="1" applyFont="1" applyFill="1" applyBorder="1"/>
    <xf numFmtId="166" fontId="13" fillId="3" borderId="3" xfId="0" applyNumberFormat="1" applyFont="1" applyFill="1" applyBorder="1"/>
    <xf numFmtId="0" fontId="17" fillId="0" borderId="11" xfId="0" applyFont="1" applyBorder="1"/>
    <xf numFmtId="0" fontId="17" fillId="2" borderId="40" xfId="0" applyFont="1" applyFill="1" applyBorder="1"/>
    <xf numFmtId="0" fontId="17" fillId="2" borderId="40" xfId="0" applyFont="1" applyFill="1" applyBorder="1" applyAlignment="1">
      <alignment vertical="top" wrapText="1"/>
    </xf>
    <xf numFmtId="0" fontId="18" fillId="0" borderId="5" xfId="0" applyFont="1" applyBorder="1"/>
    <xf numFmtId="166" fontId="0" fillId="0" borderId="15" xfId="0" applyNumberFormat="1" applyBorder="1"/>
    <xf numFmtId="166" fontId="0" fillId="0" borderId="13" xfId="0" applyNumberFormat="1" applyBorder="1"/>
    <xf numFmtId="166" fontId="0" fillId="0" borderId="16" xfId="0" applyNumberFormat="1" applyBorder="1"/>
    <xf numFmtId="0" fontId="21" fillId="0" borderId="23" xfId="0" applyFont="1" applyBorder="1" applyAlignment="1">
      <alignment horizontal="left" vertical="center" wrapText="1"/>
    </xf>
    <xf numFmtId="0" fontId="0" fillId="0" borderId="5" xfId="0" applyBorder="1" applyAlignment="1">
      <alignment vertical="top" wrapText="1"/>
    </xf>
    <xf numFmtId="0" fontId="17" fillId="2" borderId="5" xfId="0" applyFont="1" applyFill="1" applyBorder="1" applyAlignment="1">
      <alignment vertical="top" wrapText="1"/>
    </xf>
    <xf numFmtId="166" fontId="13" fillId="0" borderId="7" xfId="0" applyNumberFormat="1" applyFont="1" applyBorder="1" applyAlignment="1">
      <alignment wrapText="1"/>
    </xf>
    <xf numFmtId="166" fontId="0" fillId="0" borderId="3" xfId="0" applyNumberFormat="1" applyBorder="1" applyAlignment="1">
      <alignment wrapText="1"/>
    </xf>
    <xf numFmtId="166" fontId="14" fillId="0" borderId="3" xfId="0" applyNumberFormat="1" applyFont="1" applyBorder="1" applyAlignment="1">
      <alignment wrapText="1"/>
    </xf>
    <xf numFmtId="166" fontId="14" fillId="0" borderId="1" xfId="0" applyNumberFormat="1" applyFont="1" applyBorder="1" applyAlignment="1">
      <alignment wrapText="1"/>
    </xf>
    <xf numFmtId="166" fontId="0" fillId="0" borderId="6" xfId="0" applyNumberFormat="1" applyBorder="1" applyAlignment="1">
      <alignment wrapText="1"/>
    </xf>
    <xf numFmtId="166" fontId="0" fillId="2" borderId="3" xfId="0" applyNumberFormat="1" applyFill="1" applyBorder="1" applyAlignment="1">
      <alignment wrapText="1"/>
    </xf>
    <xf numFmtId="166" fontId="0" fillId="0" borderId="3" xfId="0" applyNumberFormat="1" applyBorder="1" applyAlignment="1">
      <alignment vertical="top" wrapText="1"/>
    </xf>
    <xf numFmtId="166" fontId="0" fillId="0" borderId="2" xfId="0" applyNumberFormat="1" applyBorder="1" applyAlignment="1">
      <alignment vertical="top" wrapText="1"/>
    </xf>
    <xf numFmtId="166" fontId="0" fillId="0" borderId="1" xfId="0" applyNumberFormat="1" applyBorder="1" applyAlignment="1">
      <alignment vertical="top" wrapText="1"/>
    </xf>
    <xf numFmtId="166" fontId="0" fillId="0" borderId="7" xfId="0" applyNumberFormat="1" applyBorder="1" applyAlignment="1">
      <alignment vertical="top" wrapText="1"/>
    </xf>
    <xf numFmtId="0" fontId="17" fillId="0" borderId="5" xfId="0" applyFont="1" applyBorder="1" applyAlignment="1">
      <alignment vertical="top" wrapText="1"/>
    </xf>
    <xf numFmtId="166" fontId="13" fillId="0" borderId="8" xfId="0" applyNumberFormat="1" applyFont="1" applyBorder="1"/>
    <xf numFmtId="0" fontId="13" fillId="2" borderId="11" xfId="0" applyFont="1" applyFill="1" applyBorder="1"/>
    <xf numFmtId="166" fontId="0" fillId="0" borderId="12" xfId="0" applyNumberFormat="1" applyBorder="1"/>
    <xf numFmtId="166" fontId="0" fillId="0" borderId="14" xfId="0" applyNumberFormat="1" applyBorder="1"/>
    <xf numFmtId="0" fontId="0" fillId="0" borderId="40" xfId="0" applyBorder="1" applyAlignment="1">
      <alignment vertical="top"/>
    </xf>
    <xf numFmtId="0" fontId="14" fillId="0" borderId="51" xfId="0" applyFont="1" applyBorder="1"/>
    <xf numFmtId="166" fontId="14" fillId="0" borderId="44" xfId="0" applyNumberFormat="1" applyFont="1" applyBorder="1"/>
    <xf numFmtId="166" fontId="14" fillId="0" borderId="51" xfId="0" applyNumberFormat="1" applyFont="1" applyBorder="1"/>
    <xf numFmtId="166" fontId="0" fillId="0" borderId="4" xfId="0" applyNumberFormat="1" applyBorder="1"/>
    <xf numFmtId="166" fontId="0" fillId="0" borderId="43" xfId="0" applyNumberFormat="1" applyBorder="1"/>
    <xf numFmtId="0" fontId="0" fillId="0" borderId="8" xfId="0" applyBorder="1" applyAlignment="1">
      <alignment vertical="top"/>
    </xf>
    <xf numFmtId="0" fontId="17" fillId="0" borderId="8" xfId="0" applyFont="1" applyBorder="1" applyAlignment="1">
      <alignment vertical="top" wrapText="1"/>
    </xf>
    <xf numFmtId="0" fontId="0" fillId="0" borderId="2" xfId="0" applyBorder="1" applyAlignment="1">
      <alignment vertical="top"/>
    </xf>
    <xf numFmtId="166" fontId="0" fillId="0" borderId="36" xfId="0" applyNumberFormat="1" applyBorder="1"/>
    <xf numFmtId="166" fontId="0" fillId="0" borderId="38" xfId="0" applyNumberFormat="1" applyBorder="1"/>
    <xf numFmtId="166" fontId="13" fillId="0" borderId="52" xfId="0" applyNumberFormat="1" applyFont="1" applyBorder="1"/>
    <xf numFmtId="166" fontId="0" fillId="0" borderId="52" xfId="0" applyNumberFormat="1" applyBorder="1"/>
    <xf numFmtId="166" fontId="0" fillId="0" borderId="53" xfId="0" applyNumberFormat="1" applyBorder="1"/>
    <xf numFmtId="166" fontId="0" fillId="0" borderId="54" xfId="0" applyNumberFormat="1" applyBorder="1"/>
    <xf numFmtId="0" fontId="14" fillId="0" borderId="23" xfId="0" applyFont="1" applyBorder="1"/>
    <xf numFmtId="0" fontId="11" fillId="0" borderId="0" xfId="0" applyFont="1"/>
    <xf numFmtId="0" fontId="10" fillId="0" borderId="0" xfId="0" applyFont="1" applyAlignment="1">
      <alignment wrapText="1"/>
    </xf>
    <xf numFmtId="168" fontId="0" fillId="0" borderId="0" xfId="0" applyNumberFormat="1"/>
    <xf numFmtId="0" fontId="31" fillId="0" borderId="0" xfId="0" applyFont="1"/>
    <xf numFmtId="0" fontId="31" fillId="0" borderId="0" xfId="0" applyFont="1" applyAlignment="1">
      <alignment horizontal="center"/>
    </xf>
    <xf numFmtId="166" fontId="11" fillId="0" borderId="0" xfId="0" applyNumberFormat="1" applyFont="1"/>
    <xf numFmtId="168" fontId="11" fillId="0" borderId="0" xfId="0" applyNumberFormat="1" applyFont="1"/>
    <xf numFmtId="0" fontId="31" fillId="0" borderId="0" xfId="0" applyFont="1" applyAlignment="1">
      <alignment wrapText="1"/>
    </xf>
    <xf numFmtId="0" fontId="31" fillId="3" borderId="0" xfId="0" applyFont="1" applyFill="1"/>
    <xf numFmtId="0" fontId="11" fillId="0" borderId="0" xfId="0" applyFont="1" applyAlignment="1">
      <alignment vertical="top"/>
    </xf>
    <xf numFmtId="0" fontId="11" fillId="3" borderId="0" xfId="0" applyFont="1" applyFill="1"/>
    <xf numFmtId="0" fontId="11" fillId="0" borderId="0" xfId="0" applyFont="1" applyAlignment="1">
      <alignment horizontal="left"/>
    </xf>
    <xf numFmtId="0" fontId="33" fillId="3" borderId="0" xfId="0" applyFont="1" applyFill="1"/>
    <xf numFmtId="0" fontId="11" fillId="0" borderId="0" xfId="0" applyFont="1" applyAlignment="1">
      <alignment horizontal="center"/>
    </xf>
    <xf numFmtId="0" fontId="13" fillId="0" borderId="0" xfId="4"/>
    <xf numFmtId="0" fontId="9" fillId="0" borderId="0" xfId="4" applyFont="1"/>
    <xf numFmtId="0" fontId="11" fillId="0" borderId="0" xfId="4" applyFont="1"/>
    <xf numFmtId="16" fontId="11" fillId="0" borderId="0" xfId="4" applyNumberFormat="1" applyFont="1"/>
    <xf numFmtId="166" fontId="13" fillId="0" borderId="0" xfId="4" applyNumberFormat="1"/>
    <xf numFmtId="0" fontId="9" fillId="0" borderId="0" xfId="4" applyFont="1" applyAlignment="1">
      <alignment horizontal="center"/>
    </xf>
    <xf numFmtId="0" fontId="34" fillId="0" borderId="0" xfId="0" applyFont="1"/>
    <xf numFmtId="0" fontId="25" fillId="0" borderId="0" xfId="0" applyFont="1"/>
    <xf numFmtId="0" fontId="9" fillId="0" borderId="0" xfId="0" applyFont="1" applyAlignment="1">
      <alignment horizontal="center"/>
    </xf>
    <xf numFmtId="0" fontId="10" fillId="0" borderId="0" xfId="0" applyFont="1" applyAlignment="1">
      <alignment horizontal="center"/>
    </xf>
    <xf numFmtId="166" fontId="9" fillId="3" borderId="78" xfId="0" applyNumberFormat="1" applyFont="1" applyFill="1" applyBorder="1" applyAlignment="1">
      <alignment horizontal="right" vertical="top" wrapText="1"/>
    </xf>
    <xf numFmtId="166" fontId="0" fillId="0" borderId="0" xfId="0" applyNumberFormat="1"/>
    <xf numFmtId="0" fontId="13" fillId="0" borderId="0" xfId="10409"/>
    <xf numFmtId="0" fontId="30" fillId="0" borderId="0" xfId="10409" applyFont="1" applyAlignment="1">
      <alignment horizontal="right"/>
    </xf>
    <xf numFmtId="0" fontId="34" fillId="0" borderId="0" xfId="10409" applyFont="1"/>
    <xf numFmtId="0" fontId="35" fillId="0" borderId="0" xfId="10409" applyFont="1"/>
    <xf numFmtId="0" fontId="34" fillId="0" borderId="128" xfId="3055" applyFont="1" applyFill="1" applyBorder="1" applyAlignment="1">
      <alignment vertical="center" wrapText="1"/>
    </xf>
    <xf numFmtId="0" fontId="38" fillId="0" borderId="0" xfId="0" applyFont="1"/>
    <xf numFmtId="0" fontId="34" fillId="0" borderId="78" xfId="0" applyFont="1" applyBorder="1"/>
    <xf numFmtId="0" fontId="39" fillId="0" borderId="0" xfId="0" applyFont="1"/>
    <xf numFmtId="168" fontId="39" fillId="0" borderId="0" xfId="0" applyNumberFormat="1" applyFont="1"/>
    <xf numFmtId="0" fontId="9" fillId="0" borderId="0" xfId="0" applyFont="1" applyAlignment="1">
      <alignment vertical="center"/>
    </xf>
    <xf numFmtId="168" fontId="13" fillId="0" borderId="0" xfId="4" applyNumberFormat="1"/>
    <xf numFmtId="0" fontId="9" fillId="3" borderId="0" xfId="0" applyFont="1" applyFill="1" applyAlignment="1">
      <alignment horizontal="center"/>
    </xf>
    <xf numFmtId="0" fontId="34" fillId="0" borderId="0" xfId="0" applyFont="1" applyAlignment="1">
      <alignment horizontal="center"/>
    </xf>
    <xf numFmtId="0" fontId="34" fillId="3" borderId="0" xfId="0" applyFont="1" applyFill="1" applyAlignment="1">
      <alignment horizontal="center"/>
    </xf>
    <xf numFmtId="0" fontId="30" fillId="0" borderId="0" xfId="0" applyFont="1" applyAlignment="1">
      <alignment horizontal="center"/>
    </xf>
    <xf numFmtId="0" fontId="30" fillId="0" borderId="0" xfId="0" applyFont="1" applyAlignment="1">
      <alignment horizontal="left"/>
    </xf>
    <xf numFmtId="0" fontId="40" fillId="0" borderId="0" xfId="4" applyFont="1"/>
    <xf numFmtId="0" fontId="19" fillId="0" borderId="0" xfId="4" applyFont="1"/>
    <xf numFmtId="0" fontId="25" fillId="0" borderId="4" xfId="0" applyFont="1" applyBorder="1" applyAlignment="1">
      <alignment horizontal="right" vertical="top" wrapText="1"/>
    </xf>
    <xf numFmtId="0" fontId="25" fillId="0" borderId="51" xfId="9" applyFont="1" applyBorder="1" applyAlignment="1">
      <alignment horizontal="left" vertical="top" wrapText="1"/>
    </xf>
    <xf numFmtId="166" fontId="25" fillId="0" borderId="22" xfId="0" applyNumberFormat="1" applyFont="1" applyBorder="1"/>
    <xf numFmtId="166" fontId="25" fillId="0" borderId="51" xfId="9" applyNumberFormat="1" applyFont="1" applyBorder="1" applyAlignment="1">
      <alignment wrapText="1"/>
    </xf>
    <xf numFmtId="166" fontId="25" fillId="0" borderId="58" xfId="9" applyNumberFormat="1" applyFont="1" applyBorder="1" applyAlignment="1">
      <alignment wrapText="1"/>
    </xf>
    <xf numFmtId="166" fontId="25" fillId="0" borderId="51" xfId="0" applyNumberFormat="1" applyFont="1" applyBorder="1"/>
    <xf numFmtId="0" fontId="34" fillId="0" borderId="51" xfId="0" applyFont="1" applyBorder="1"/>
    <xf numFmtId="0" fontId="34" fillId="0" borderId="127" xfId="0" applyFont="1" applyBorder="1" applyAlignment="1">
      <alignment horizontal="right" vertical="top" wrapText="1"/>
    </xf>
    <xf numFmtId="0" fontId="34" fillId="0" borderId="128" xfId="0" applyFont="1" applyBorder="1" applyAlignment="1">
      <alignment vertical="top"/>
    </xf>
    <xf numFmtId="166" fontId="41" fillId="0" borderId="78" xfId="0" applyNumberFormat="1" applyFont="1" applyBorder="1"/>
    <xf numFmtId="166" fontId="42" fillId="0" borderId="78" xfId="9" applyNumberFormat="1" applyFont="1" applyBorder="1" applyAlignment="1">
      <alignment wrapText="1"/>
    </xf>
    <xf numFmtId="166" fontId="34" fillId="0" borderId="132" xfId="9" applyNumberFormat="1" applyFont="1" applyBorder="1" applyAlignment="1">
      <alignment wrapText="1"/>
    </xf>
    <xf numFmtId="166" fontId="34" fillId="0" borderId="128" xfId="9" applyNumberFormat="1" applyFont="1" applyBorder="1" applyAlignment="1">
      <alignment wrapText="1"/>
    </xf>
    <xf numFmtId="166" fontId="34" fillId="0" borderId="128" xfId="0" applyNumberFormat="1" applyFont="1" applyBorder="1"/>
    <xf numFmtId="0" fontId="25" fillId="0" borderId="128" xfId="0" applyFont="1" applyBorder="1" applyAlignment="1">
      <alignment vertical="top"/>
    </xf>
    <xf numFmtId="168" fontId="25" fillId="0" borderId="78" xfId="0" applyNumberFormat="1" applyFont="1" applyBorder="1"/>
    <xf numFmtId="166" fontId="25" fillId="0" borderId="78" xfId="0" applyNumberFormat="1" applyFont="1" applyBorder="1"/>
    <xf numFmtId="168" fontId="25" fillId="0" borderId="132" xfId="0" applyNumberFormat="1" applyFont="1" applyBorder="1"/>
    <xf numFmtId="166" fontId="25" fillId="0" borderId="128" xfId="0" applyNumberFormat="1" applyFont="1" applyBorder="1"/>
    <xf numFmtId="166" fontId="25" fillId="0" borderId="132" xfId="0" applyNumberFormat="1" applyFont="1" applyBorder="1"/>
    <xf numFmtId="168" fontId="42" fillId="0" borderId="78" xfId="0" applyNumberFormat="1" applyFont="1" applyBorder="1"/>
    <xf numFmtId="166" fontId="42" fillId="0" borderId="89" xfId="0" applyNumberFormat="1" applyFont="1" applyBorder="1"/>
    <xf numFmtId="166" fontId="42" fillId="0" borderId="128" xfId="0" applyNumberFormat="1" applyFont="1" applyBorder="1"/>
    <xf numFmtId="166" fontId="42" fillId="0" borderId="132" xfId="0" applyNumberFormat="1" applyFont="1" applyBorder="1"/>
    <xf numFmtId="166" fontId="42" fillId="0" borderId="78" xfId="0" applyNumberFormat="1" applyFont="1" applyBorder="1"/>
    <xf numFmtId="166" fontId="34" fillId="0" borderId="78" xfId="0" applyNumberFormat="1" applyFont="1" applyBorder="1"/>
    <xf numFmtId="0" fontId="34" fillId="0" borderId="128" xfId="9" applyFont="1" applyBorder="1" applyAlignment="1">
      <alignment horizontal="left" vertical="top" wrapText="1"/>
    </xf>
    <xf numFmtId="166" fontId="42" fillId="3" borderId="132" xfId="0" applyNumberFormat="1" applyFont="1" applyFill="1" applyBorder="1"/>
    <xf numFmtId="0" fontId="34" fillId="0" borderId="128" xfId="0" applyFont="1" applyBorder="1" applyAlignment="1">
      <alignment vertical="top" wrapText="1"/>
    </xf>
    <xf numFmtId="0" fontId="25" fillId="0" borderId="128" xfId="0" applyFont="1" applyBorder="1" applyAlignment="1">
      <alignment horizontal="left" vertical="top" wrapText="1"/>
    </xf>
    <xf numFmtId="0" fontId="42" fillId="0" borderId="78" xfId="0" applyFont="1" applyBorder="1"/>
    <xf numFmtId="168" fontId="42" fillId="0" borderId="128" xfId="0" applyNumberFormat="1" applyFont="1" applyBorder="1" applyAlignment="1">
      <alignment horizontal="right" vertical="top" wrapText="1"/>
    </xf>
    <xf numFmtId="0" fontId="34" fillId="0" borderId="128" xfId="0" applyFont="1" applyBorder="1" applyAlignment="1">
      <alignment wrapText="1"/>
    </xf>
    <xf numFmtId="0" fontId="34" fillId="0" borderId="128" xfId="9" applyFont="1" applyBorder="1" applyAlignment="1">
      <alignment vertical="top" wrapText="1"/>
    </xf>
    <xf numFmtId="0" fontId="42" fillId="0" borderId="128" xfId="0" applyFont="1" applyBorder="1"/>
    <xf numFmtId="0" fontId="25" fillId="0" borderId="33" xfId="0" applyFont="1" applyBorder="1" applyAlignment="1">
      <alignment vertical="top" wrapText="1"/>
    </xf>
    <xf numFmtId="0" fontId="34" fillId="0" borderId="130" xfId="0" applyFont="1" applyBorder="1" applyAlignment="1">
      <alignment horizontal="right" vertical="top" wrapText="1"/>
    </xf>
    <xf numFmtId="0" fontId="34" fillId="0" borderId="51" xfId="0" applyFont="1" applyBorder="1" applyAlignment="1">
      <alignment horizontal="right" vertical="top" wrapText="1"/>
    </xf>
    <xf numFmtId="0" fontId="34" fillId="0" borderId="133" xfId="0" applyFont="1" applyBorder="1" applyAlignment="1">
      <alignment vertical="top" wrapText="1"/>
    </xf>
    <xf numFmtId="0" fontId="34" fillId="0" borderId="128" xfId="0" applyFont="1" applyBorder="1" applyAlignment="1">
      <alignment horizontal="right" vertical="top" wrapText="1"/>
    </xf>
    <xf numFmtId="0" fontId="34" fillId="0" borderId="133" xfId="9" applyFont="1" applyBorder="1" applyAlignment="1">
      <alignment vertical="top" wrapText="1"/>
    </xf>
    <xf numFmtId="0" fontId="25" fillId="0" borderId="133" xfId="0" applyFont="1" applyBorder="1" applyAlignment="1">
      <alignment vertical="top"/>
    </xf>
    <xf numFmtId="0" fontId="34" fillId="0" borderId="47" xfId="9" applyFont="1" applyBorder="1" applyAlignment="1">
      <alignment vertical="top" wrapText="1"/>
    </xf>
    <xf numFmtId="0" fontId="34" fillId="0" borderId="132" xfId="0" applyFont="1" applyBorder="1" applyAlignment="1">
      <alignment wrapText="1"/>
    </xf>
    <xf numFmtId="0" fontId="34" fillId="0" borderId="133" xfId="0" applyFont="1" applyBorder="1" applyAlignment="1">
      <alignment vertical="top"/>
    </xf>
    <xf numFmtId="0" fontId="25" fillId="0" borderId="133" xfId="0" applyFont="1" applyBorder="1" applyAlignment="1">
      <alignment vertical="top" wrapText="1"/>
    </xf>
    <xf numFmtId="0" fontId="34" fillId="0" borderId="128" xfId="0" applyFont="1" applyBorder="1"/>
    <xf numFmtId="0" fontId="25" fillId="0" borderId="133" xfId="0" applyFont="1" applyBorder="1" applyAlignment="1">
      <alignment wrapText="1"/>
    </xf>
    <xf numFmtId="166" fontId="34" fillId="0" borderId="108" xfId="0" applyNumberFormat="1" applyFont="1" applyBorder="1"/>
    <xf numFmtId="166" fontId="34" fillId="0" borderId="89" xfId="0" applyNumberFormat="1" applyFont="1" applyBorder="1"/>
    <xf numFmtId="166" fontId="34" fillId="0" borderId="129" xfId="0" applyNumberFormat="1" applyFont="1" applyBorder="1"/>
    <xf numFmtId="0" fontId="42" fillId="0" borderId="133" xfId="0" applyFont="1" applyBorder="1" applyAlignment="1">
      <alignment wrapText="1"/>
    </xf>
    <xf numFmtId="166" fontId="42" fillId="0" borderId="108" xfId="0" applyNumberFormat="1" applyFont="1" applyBorder="1"/>
    <xf numFmtId="0" fontId="42" fillId="0" borderId="133" xfId="0" applyFont="1" applyBorder="1" applyAlignment="1">
      <alignment vertical="top" wrapText="1"/>
    </xf>
    <xf numFmtId="166" fontId="34" fillId="0" borderId="33" xfId="0" applyNumberFormat="1" applyFont="1" applyBorder="1"/>
    <xf numFmtId="166" fontId="42" fillId="0" borderId="49" xfId="0" applyNumberFormat="1" applyFont="1" applyBorder="1"/>
    <xf numFmtId="0" fontId="25" fillId="0" borderId="135" xfId="0" applyFont="1" applyBorder="1" applyAlignment="1">
      <alignment vertical="top"/>
    </xf>
    <xf numFmtId="166" fontId="25" fillId="0" borderId="127" xfId="0" applyNumberFormat="1" applyFont="1" applyBorder="1"/>
    <xf numFmtId="0" fontId="34" fillId="0" borderId="100" xfId="0" applyFont="1" applyBorder="1" applyAlignment="1">
      <alignment vertical="top" wrapText="1"/>
    </xf>
    <xf numFmtId="0" fontId="25" fillId="0" borderId="135" xfId="0" applyFont="1" applyBorder="1" applyAlignment="1">
      <alignment vertical="top" wrapText="1"/>
    </xf>
    <xf numFmtId="166" fontId="43" fillId="0" borderId="128" xfId="0" applyNumberFormat="1" applyFont="1" applyBorder="1"/>
    <xf numFmtId="0" fontId="25" fillId="0" borderId="100" xfId="0" applyFont="1" applyBorder="1"/>
    <xf numFmtId="0" fontId="34" fillId="0" borderId="100" xfId="0" applyFont="1" applyBorder="1"/>
    <xf numFmtId="166" fontId="34" fillId="0" borderId="49" xfId="0" applyNumberFormat="1" applyFont="1" applyBorder="1"/>
    <xf numFmtId="166" fontId="34" fillId="0" borderId="132" xfId="0" applyNumberFormat="1" applyFont="1" applyBorder="1"/>
    <xf numFmtId="0" fontId="25" fillId="0" borderId="138" xfId="0" applyFont="1" applyBorder="1" applyAlignment="1">
      <alignment vertical="top"/>
    </xf>
    <xf numFmtId="166" fontId="25" fillId="3" borderId="78" xfId="0" applyNumberFormat="1" applyFont="1" applyFill="1" applyBorder="1"/>
    <xf numFmtId="166" fontId="25" fillId="3" borderId="132" xfId="0" applyNumberFormat="1" applyFont="1" applyFill="1" applyBorder="1"/>
    <xf numFmtId="0" fontId="34" fillId="0" borderId="18" xfId="0" applyFont="1" applyBorder="1" applyAlignment="1">
      <alignment horizontal="right" vertical="top" wrapText="1"/>
    </xf>
    <xf numFmtId="166" fontId="25" fillId="0" borderId="129" xfId="0" applyNumberFormat="1" applyFont="1" applyBorder="1"/>
    <xf numFmtId="166" fontId="25" fillId="0" borderId="111" xfId="0" applyNumberFormat="1" applyFont="1" applyBorder="1"/>
    <xf numFmtId="0" fontId="34" fillId="0" borderId="129" xfId="0" applyFont="1" applyBorder="1"/>
    <xf numFmtId="0" fontId="34" fillId="0" borderId="40" xfId="0" applyFont="1" applyBorder="1" applyAlignment="1">
      <alignment horizontal="right" vertical="top" wrapText="1"/>
    </xf>
    <xf numFmtId="0" fontId="25" fillId="0" borderId="33" xfId="0" applyFont="1" applyBorder="1" applyAlignment="1">
      <alignment vertical="top"/>
    </xf>
    <xf numFmtId="166" fontId="25" fillId="0" borderId="33" xfId="0" applyNumberFormat="1" applyFont="1" applyBorder="1"/>
    <xf numFmtId="166" fontId="25" fillId="0" borderId="58" xfId="0" applyNumberFormat="1" applyFont="1" applyBorder="1"/>
    <xf numFmtId="0" fontId="34" fillId="0" borderId="33" xfId="0" applyFont="1" applyBorder="1"/>
    <xf numFmtId="166" fontId="25" fillId="0" borderId="88" xfId="0" applyNumberFormat="1" applyFont="1" applyBorder="1"/>
    <xf numFmtId="0" fontId="25" fillId="0" borderId="126" xfId="0" applyFont="1" applyBorder="1" applyAlignment="1">
      <alignment vertical="top"/>
    </xf>
    <xf numFmtId="0" fontId="25" fillId="0" borderId="126" xfId="0" applyFont="1" applyBorder="1" applyAlignment="1">
      <alignment vertical="top" wrapText="1"/>
    </xf>
    <xf numFmtId="0" fontId="25" fillId="0" borderId="128" xfId="0" applyFont="1" applyBorder="1" applyAlignment="1">
      <alignment vertical="top" wrapText="1"/>
    </xf>
    <xf numFmtId="0" fontId="25" fillId="0" borderId="49" xfId="0" applyFont="1" applyBorder="1" applyAlignment="1">
      <alignment vertical="top" wrapText="1"/>
    </xf>
    <xf numFmtId="0" fontId="34" fillId="3" borderId="78" xfId="0" applyFont="1" applyFill="1" applyBorder="1"/>
    <xf numFmtId="0" fontId="25" fillId="0" borderId="129" xfId="0" applyFont="1" applyBorder="1" applyAlignment="1">
      <alignment vertical="top"/>
    </xf>
    <xf numFmtId="166" fontId="25" fillId="0" borderId="86" xfId="0" applyNumberFormat="1" applyFont="1" applyBorder="1"/>
    <xf numFmtId="166" fontId="25" fillId="0" borderId="55" xfId="0" applyNumberFormat="1" applyFont="1" applyBorder="1"/>
    <xf numFmtId="166" fontId="25" fillId="0" borderId="109" xfId="0" applyNumberFormat="1" applyFont="1" applyBorder="1"/>
    <xf numFmtId="166" fontId="25" fillId="0" borderId="86" xfId="0" applyNumberFormat="1" applyFont="1" applyBorder="1" applyAlignment="1">
      <alignment wrapText="1"/>
    </xf>
    <xf numFmtId="0" fontId="34" fillId="0" borderId="86" xfId="0" applyFont="1" applyBorder="1"/>
    <xf numFmtId="0" fontId="11" fillId="0" borderId="40" xfId="0" applyFont="1" applyBorder="1" applyAlignment="1">
      <alignment horizontal="right" vertical="top" wrapText="1"/>
    </xf>
    <xf numFmtId="0" fontId="11" fillId="0" borderId="0" xfId="0" applyFont="1" applyAlignment="1">
      <alignment horizontal="right" vertical="center" wrapText="1"/>
    </xf>
    <xf numFmtId="166" fontId="34" fillId="3" borderId="78" xfId="0" applyNumberFormat="1" applyFont="1" applyFill="1" applyBorder="1"/>
    <xf numFmtId="166" fontId="34" fillId="3" borderId="86" xfId="0" applyNumberFormat="1" applyFont="1" applyFill="1" applyBorder="1"/>
    <xf numFmtId="0" fontId="34" fillId="5" borderId="23" xfId="0" applyFont="1" applyFill="1" applyBorder="1" applyAlignment="1">
      <alignment horizontal="right" vertical="top" wrapText="1"/>
    </xf>
    <xf numFmtId="0" fontId="25" fillId="5" borderId="23" xfId="0" applyFont="1" applyFill="1" applyBorder="1" applyAlignment="1">
      <alignment vertical="top"/>
    </xf>
    <xf numFmtId="168" fontId="25" fillId="5" borderId="23" xfId="0" applyNumberFormat="1" applyFont="1" applyFill="1" applyBorder="1"/>
    <xf numFmtId="166" fontId="25" fillId="5" borderId="23" xfId="0" applyNumberFormat="1" applyFont="1" applyFill="1" applyBorder="1"/>
    <xf numFmtId="168" fontId="25" fillId="5" borderId="27" xfId="0" applyNumberFormat="1" applyFont="1" applyFill="1" applyBorder="1"/>
    <xf numFmtId="166" fontId="25" fillId="5" borderId="27" xfId="0" applyNumberFormat="1" applyFont="1" applyFill="1" applyBorder="1"/>
    <xf numFmtId="0" fontId="25" fillId="5" borderId="23" xfId="0" applyFont="1" applyFill="1" applyBorder="1" applyAlignment="1">
      <alignment horizontal="left" vertical="top"/>
    </xf>
    <xf numFmtId="166" fontId="25" fillId="5" borderId="31" xfId="0" applyNumberFormat="1" applyFont="1" applyFill="1" applyBorder="1"/>
    <xf numFmtId="166" fontId="25" fillId="5" borderId="22" xfId="0" applyNumberFormat="1" applyFont="1" applyFill="1" applyBorder="1"/>
    <xf numFmtId="166" fontId="25" fillId="5" borderId="106" xfId="0" applyNumberFormat="1" applyFont="1" applyFill="1" applyBorder="1"/>
    <xf numFmtId="0" fontId="34" fillId="5" borderId="23" xfId="0" applyFont="1" applyFill="1" applyBorder="1"/>
    <xf numFmtId="166" fontId="42" fillId="0" borderId="141" xfId="0" applyNumberFormat="1" applyFont="1" applyBorder="1"/>
    <xf numFmtId="0" fontId="30" fillId="3" borderId="144" xfId="0" applyFont="1" applyFill="1" applyBorder="1" applyAlignment="1">
      <alignment wrapText="1"/>
    </xf>
    <xf numFmtId="0" fontId="31" fillId="3" borderId="124" xfId="0" applyFont="1" applyFill="1" applyBorder="1" applyAlignment="1">
      <alignment horizontal="center" vertical="top"/>
    </xf>
    <xf numFmtId="0" fontId="31" fillId="3" borderId="113" xfId="0" applyFont="1" applyFill="1" applyBorder="1" applyAlignment="1">
      <alignment horizontal="center" vertical="top" wrapText="1"/>
    </xf>
    <xf numFmtId="0" fontId="31" fillId="3" borderId="123" xfId="0" applyFont="1" applyFill="1" applyBorder="1" applyAlignment="1">
      <alignment horizontal="center" vertical="top" wrapText="1"/>
    </xf>
    <xf numFmtId="0" fontId="31" fillId="3" borderId="144" xfId="0" applyFont="1" applyFill="1" applyBorder="1" applyAlignment="1">
      <alignment horizontal="center" vertical="top" wrapText="1"/>
    </xf>
    <xf numFmtId="0" fontId="13" fillId="3" borderId="144" xfId="0" applyFont="1" applyFill="1" applyBorder="1"/>
    <xf numFmtId="0" fontId="31" fillId="3" borderId="0" xfId="0" applyFont="1" applyFill="1" applyAlignment="1">
      <alignment horizontal="center"/>
    </xf>
    <xf numFmtId="0" fontId="30" fillId="3" borderId="144" xfId="0" applyFont="1" applyFill="1" applyBorder="1"/>
    <xf numFmtId="168" fontId="30" fillId="3" borderId="0" xfId="0" applyNumberFormat="1" applyFont="1" applyFill="1"/>
    <xf numFmtId="168" fontId="34" fillId="3" borderId="113" xfId="0" applyNumberFormat="1" applyFont="1" applyFill="1" applyBorder="1" applyAlignment="1">
      <alignment horizontal="left" vertical="center"/>
    </xf>
    <xf numFmtId="0" fontId="30" fillId="3" borderId="145" xfId="0" applyFont="1" applyFill="1" applyBorder="1"/>
    <xf numFmtId="168" fontId="34" fillId="3" borderId="115" xfId="0" applyNumberFormat="1" applyFont="1" applyFill="1" applyBorder="1" applyAlignment="1">
      <alignment horizontal="left" vertical="center"/>
    </xf>
    <xf numFmtId="0" fontId="21" fillId="3" borderId="0" xfId="0" applyFont="1" applyFill="1"/>
    <xf numFmtId="168" fontId="21" fillId="3" borderId="0" xfId="0" applyNumberFormat="1" applyFont="1" applyFill="1"/>
    <xf numFmtId="0" fontId="31" fillId="3" borderId="113" xfId="0" applyFont="1" applyFill="1" applyBorder="1" applyAlignment="1">
      <alignment horizontal="center" vertical="top"/>
    </xf>
    <xf numFmtId="0" fontId="11" fillId="3" borderId="113" xfId="0" applyFont="1" applyFill="1" applyBorder="1" applyAlignment="1">
      <alignment horizontal="left" vertical="top"/>
    </xf>
    <xf numFmtId="0" fontId="11" fillId="3" borderId="113" xfId="0" applyFont="1" applyFill="1" applyBorder="1" applyAlignment="1">
      <alignment horizontal="left" vertical="top" wrapText="1"/>
    </xf>
    <xf numFmtId="168" fontId="11" fillId="3" borderId="113" xfId="0" applyNumberFormat="1" applyFont="1" applyFill="1" applyBorder="1" applyAlignment="1">
      <alignment horizontal="left" vertical="top"/>
    </xf>
    <xf numFmtId="168" fontId="11" fillId="3" borderId="113" xfId="0" applyNumberFormat="1" applyFont="1" applyFill="1" applyBorder="1" applyAlignment="1">
      <alignment horizontal="left" vertical="top" wrapText="1"/>
    </xf>
    <xf numFmtId="0" fontId="11" fillId="3" borderId="115" xfId="0" applyFont="1" applyFill="1" applyBorder="1" applyAlignment="1">
      <alignment horizontal="left" vertical="top"/>
    </xf>
    <xf numFmtId="0" fontId="11" fillId="3" borderId="122" xfId="0" applyFont="1" applyFill="1" applyBorder="1" applyAlignment="1">
      <alignment horizontal="left" vertical="top"/>
    </xf>
    <xf numFmtId="0" fontId="11" fillId="3" borderId="122" xfId="0" applyFont="1" applyFill="1" applyBorder="1" applyAlignment="1">
      <alignment horizontal="left" vertical="top" wrapText="1"/>
    </xf>
    <xf numFmtId="0" fontId="11" fillId="3" borderId="115" xfId="0" applyFont="1" applyFill="1" applyBorder="1" applyAlignment="1">
      <alignment horizontal="left" vertical="top" wrapText="1"/>
    </xf>
    <xf numFmtId="168" fontId="11" fillId="3" borderId="144" xfId="0" applyNumberFormat="1" applyFont="1" applyFill="1" applyBorder="1" applyAlignment="1">
      <alignment horizontal="left" vertical="top"/>
    </xf>
    <xf numFmtId="168" fontId="11" fillId="3" borderId="0" xfId="0" applyNumberFormat="1" applyFont="1" applyFill="1" applyAlignment="1">
      <alignment horizontal="left" vertical="top" wrapText="1"/>
    </xf>
    <xf numFmtId="168" fontId="11" fillId="3" borderId="145" xfId="0" applyNumberFormat="1" applyFont="1" applyFill="1" applyBorder="1" applyAlignment="1">
      <alignment horizontal="left" vertical="top"/>
    </xf>
    <xf numFmtId="168" fontId="11" fillId="3" borderId="145" xfId="0" applyNumberFormat="1" applyFont="1" applyFill="1" applyBorder="1" applyAlignment="1">
      <alignment horizontal="left" vertical="top" wrapText="1"/>
    </xf>
    <xf numFmtId="168" fontId="11" fillId="3" borderId="37" xfId="0" applyNumberFormat="1" applyFont="1" applyFill="1" applyBorder="1" applyAlignment="1">
      <alignment horizontal="left" vertical="top" wrapText="1"/>
    </xf>
    <xf numFmtId="168" fontId="11" fillId="3" borderId="37" xfId="0" applyNumberFormat="1" applyFont="1" applyFill="1" applyBorder="1" applyAlignment="1">
      <alignment horizontal="left" vertical="top"/>
    </xf>
    <xf numFmtId="168" fontId="31" fillId="3" borderId="113" xfId="0" applyNumberFormat="1" applyFont="1" applyFill="1" applyBorder="1" applyAlignment="1">
      <alignment horizontal="left" vertical="top" wrapText="1"/>
    </xf>
    <xf numFmtId="168" fontId="11" fillId="3" borderId="115" xfId="0" applyNumberFormat="1" applyFont="1" applyFill="1" applyBorder="1" applyAlignment="1">
      <alignment horizontal="left" vertical="top" wrapText="1"/>
    </xf>
    <xf numFmtId="168" fontId="11" fillId="3" borderId="115" xfId="0" applyNumberFormat="1" applyFont="1" applyFill="1" applyBorder="1" applyAlignment="1">
      <alignment horizontal="left" vertical="top"/>
    </xf>
    <xf numFmtId="0" fontId="11" fillId="3" borderId="123" xfId="0" applyFont="1" applyFill="1" applyBorder="1" applyAlignment="1">
      <alignment horizontal="left" vertical="top"/>
    </xf>
    <xf numFmtId="0" fontId="11" fillId="3" borderId="124" xfId="0" applyFont="1" applyFill="1" applyBorder="1" applyAlignment="1">
      <alignment horizontal="left" vertical="top" wrapText="1"/>
    </xf>
    <xf numFmtId="168" fontId="11" fillId="3" borderId="144" xfId="0" applyNumberFormat="1" applyFont="1" applyFill="1" applyBorder="1" applyAlignment="1">
      <alignment horizontal="left" vertical="top" wrapText="1"/>
    </xf>
    <xf numFmtId="0" fontId="11" fillId="3" borderId="146" xfId="0" applyFont="1" applyFill="1" applyBorder="1" applyAlignment="1">
      <alignment horizontal="left" vertical="top" wrapText="1"/>
    </xf>
    <xf numFmtId="168" fontId="11" fillId="3" borderId="147" xfId="0" applyNumberFormat="1" applyFont="1" applyFill="1" applyBorder="1" applyAlignment="1">
      <alignment horizontal="left" vertical="top" wrapText="1"/>
    </xf>
    <xf numFmtId="0" fontId="11" fillId="3" borderId="125" xfId="0" applyFont="1" applyFill="1" applyBorder="1" applyAlignment="1">
      <alignment horizontal="left" vertical="top"/>
    </xf>
    <xf numFmtId="0" fontId="11" fillId="3" borderId="125" xfId="0" applyFont="1" applyFill="1" applyBorder="1" applyAlignment="1">
      <alignment horizontal="left" vertical="top" wrapText="1"/>
    </xf>
    <xf numFmtId="0" fontId="11" fillId="3" borderId="123" xfId="0" applyFont="1" applyFill="1" applyBorder="1" applyAlignment="1">
      <alignment horizontal="left" vertical="top" wrapText="1"/>
    </xf>
    <xf numFmtId="168" fontId="11" fillId="3" borderId="145" xfId="0" applyNumberFormat="1" applyFont="1" applyFill="1" applyBorder="1" applyAlignment="1">
      <alignment horizontal="center" vertical="top" wrapText="1"/>
    </xf>
    <xf numFmtId="0" fontId="11" fillId="3" borderId="0" xfId="0" applyFont="1" applyFill="1" applyAlignment="1">
      <alignment horizontal="center" vertical="top"/>
    </xf>
    <xf numFmtId="168" fontId="11" fillId="3" borderId="144" xfId="0" applyNumberFormat="1" applyFont="1" applyFill="1" applyBorder="1" applyAlignment="1">
      <alignment horizontal="center" vertical="top"/>
    </xf>
    <xf numFmtId="168" fontId="11" fillId="3" borderId="112" xfId="0" applyNumberFormat="1" applyFont="1" applyFill="1" applyBorder="1" applyAlignment="1">
      <alignment horizontal="center" vertical="top" wrapText="1"/>
    </xf>
    <xf numFmtId="168" fontId="11" fillId="3" borderId="112" xfId="0" applyNumberFormat="1" applyFont="1" applyFill="1" applyBorder="1" applyAlignment="1">
      <alignment horizontal="center" vertical="top"/>
    </xf>
    <xf numFmtId="168" fontId="11" fillId="3" borderId="124" xfId="0" applyNumberFormat="1" applyFont="1" applyFill="1" applyBorder="1" applyAlignment="1">
      <alignment horizontal="left" vertical="top"/>
    </xf>
    <xf numFmtId="168" fontId="11" fillId="3" borderId="112" xfId="0" applyNumberFormat="1" applyFont="1" applyFill="1" applyBorder="1" applyAlignment="1">
      <alignment horizontal="left" vertical="top" wrapText="1"/>
    </xf>
    <xf numFmtId="168" fontId="11" fillId="3" borderId="112" xfId="0" applyNumberFormat="1" applyFont="1" applyFill="1" applyBorder="1" applyAlignment="1">
      <alignment horizontal="left" vertical="top"/>
    </xf>
    <xf numFmtId="168" fontId="11" fillId="3" borderId="116" xfId="0" applyNumberFormat="1" applyFont="1" applyFill="1" applyBorder="1" applyAlignment="1">
      <alignment horizontal="left" vertical="top"/>
    </xf>
    <xf numFmtId="0" fontId="11" fillId="3" borderId="139" xfId="0" applyFont="1" applyFill="1" applyBorder="1" applyAlignment="1">
      <alignment vertical="top" wrapText="1"/>
    </xf>
    <xf numFmtId="168" fontId="11" fillId="3" borderId="0" xfId="0" applyNumberFormat="1" applyFont="1" applyFill="1" applyAlignment="1">
      <alignment horizontal="left" vertical="top"/>
    </xf>
    <xf numFmtId="168" fontId="11" fillId="3" borderId="123" xfId="0" applyNumberFormat="1" applyFont="1" applyFill="1" applyBorder="1" applyAlignment="1">
      <alignment horizontal="left" vertical="top"/>
    </xf>
    <xf numFmtId="168" fontId="11" fillId="3" borderId="124" xfId="0" applyNumberFormat="1" applyFont="1" applyFill="1" applyBorder="1" applyAlignment="1">
      <alignment horizontal="left" vertical="top" wrapText="1"/>
    </xf>
    <xf numFmtId="0" fontId="11" fillId="3" borderId="148" xfId="0" applyFont="1" applyFill="1" applyBorder="1" applyAlignment="1">
      <alignment horizontal="left" vertical="top"/>
    </xf>
    <xf numFmtId="0" fontId="11" fillId="3" borderId="149" xfId="0" applyFont="1" applyFill="1" applyBorder="1" applyAlignment="1">
      <alignment horizontal="left" vertical="top"/>
    </xf>
    <xf numFmtId="0" fontId="11" fillId="3" borderId="118" xfId="0" applyFont="1" applyFill="1" applyBorder="1" applyAlignment="1">
      <alignment horizontal="left" vertical="top"/>
    </xf>
    <xf numFmtId="0" fontId="11" fillId="3" borderId="145" xfId="0" applyFont="1" applyFill="1" applyBorder="1" applyAlignment="1">
      <alignment vertical="top" wrapText="1"/>
    </xf>
    <xf numFmtId="0" fontId="11" fillId="3" borderId="119" xfId="0" applyFont="1" applyFill="1" applyBorder="1" applyAlignment="1">
      <alignment horizontal="left" vertical="top" wrapText="1"/>
    </xf>
    <xf numFmtId="168" fontId="11" fillId="3" borderId="145" xfId="0" applyNumberFormat="1" applyFont="1" applyFill="1" applyBorder="1" applyAlignment="1">
      <alignment horizontal="center" vertical="top"/>
    </xf>
    <xf numFmtId="168" fontId="11" fillId="3" borderId="125" xfId="0" applyNumberFormat="1" applyFont="1" applyFill="1" applyBorder="1" applyAlignment="1">
      <alignment horizontal="center" vertical="top"/>
    </xf>
    <xf numFmtId="0" fontId="11" fillId="3" borderId="145" xfId="0" applyFont="1" applyFill="1" applyBorder="1" applyAlignment="1">
      <alignment horizontal="left" vertical="top"/>
    </xf>
    <xf numFmtId="0" fontId="11" fillId="3" borderId="145" xfId="0" applyFont="1" applyFill="1" applyBorder="1" applyAlignment="1">
      <alignment horizontal="left" vertical="top" wrapText="1"/>
    </xf>
    <xf numFmtId="0" fontId="34" fillId="3" borderId="150" xfId="10411" applyFont="1" applyFill="1" applyBorder="1" applyAlignment="1">
      <alignment horizontal="left" vertical="top"/>
    </xf>
    <xf numFmtId="0" fontId="34" fillId="3" borderId="150" xfId="2" applyFont="1" applyFill="1" applyBorder="1" applyAlignment="1">
      <alignment horizontal="left" vertical="top" wrapText="1"/>
    </xf>
    <xf numFmtId="0" fontId="34" fillId="3" borderId="150" xfId="10411" applyFont="1" applyFill="1" applyBorder="1" applyAlignment="1">
      <alignment horizontal="left" vertical="top" wrapText="1"/>
    </xf>
    <xf numFmtId="168" fontId="34" fillId="3" borderId="150" xfId="10411" applyNumberFormat="1" applyFont="1" applyFill="1" applyBorder="1" applyAlignment="1">
      <alignment horizontal="left" vertical="top"/>
    </xf>
    <xf numFmtId="168" fontId="34" fillId="3" borderId="150" xfId="2" applyNumberFormat="1" applyFont="1" applyFill="1" applyBorder="1" applyAlignment="1">
      <alignment horizontal="left" vertical="top" wrapText="1"/>
    </xf>
    <xf numFmtId="168" fontId="34" fillId="3" borderId="150" xfId="2" applyNumberFormat="1" applyFont="1" applyFill="1" applyBorder="1" applyAlignment="1">
      <alignment horizontal="left" vertical="top"/>
    </xf>
    <xf numFmtId="168" fontId="11" fillId="3" borderId="151" xfId="0" applyNumberFormat="1" applyFont="1" applyFill="1" applyBorder="1" applyAlignment="1">
      <alignment horizontal="left" vertical="top" wrapText="1"/>
    </xf>
    <xf numFmtId="168" fontId="11" fillId="3" borderId="151" xfId="0" applyNumberFormat="1" applyFont="1" applyFill="1" applyBorder="1" applyAlignment="1">
      <alignment horizontal="left" vertical="top"/>
    </xf>
    <xf numFmtId="168" fontId="11" fillId="3" borderId="151" xfId="0" applyNumberFormat="1" applyFont="1" applyFill="1" applyBorder="1" applyAlignment="1">
      <alignment horizontal="center" vertical="top"/>
    </xf>
    <xf numFmtId="0" fontId="34" fillId="3" borderId="144" xfId="0" applyFont="1" applyFill="1" applyBorder="1" applyAlignment="1">
      <alignment horizontal="left" vertical="top"/>
    </xf>
    <xf numFmtId="0" fontId="25" fillId="3" borderId="144" xfId="0" applyFont="1" applyFill="1" applyBorder="1" applyAlignment="1">
      <alignment horizontal="left" vertical="top"/>
    </xf>
    <xf numFmtId="167" fontId="25" fillId="3" borderId="144" xfId="0" applyNumberFormat="1" applyFont="1" applyFill="1" applyBorder="1"/>
    <xf numFmtId="0" fontId="13" fillId="3" borderId="0" xfId="0" applyFont="1" applyFill="1"/>
    <xf numFmtId="0" fontId="11" fillId="3" borderId="0" xfId="0" applyFont="1" applyFill="1" applyAlignment="1">
      <alignment horizontal="left" vertical="top"/>
    </xf>
    <xf numFmtId="167" fontId="11" fillId="3" borderId="113" xfId="0" applyNumberFormat="1" applyFont="1" applyFill="1" applyBorder="1" applyAlignment="1">
      <alignment horizontal="left" vertical="top" wrapText="1"/>
    </xf>
    <xf numFmtId="168" fontId="34" fillId="3" borderId="144" xfId="2" applyNumberFormat="1" applyFont="1" applyFill="1" applyBorder="1" applyAlignment="1">
      <alignment horizontal="left" vertical="top" wrapText="1"/>
    </xf>
    <xf numFmtId="168" fontId="34" fillId="3" borderId="144" xfId="2" applyNumberFormat="1" applyFont="1" applyFill="1" applyBorder="1" applyAlignment="1">
      <alignment horizontal="left" vertical="top"/>
    </xf>
    <xf numFmtId="0" fontId="34" fillId="3" borderId="144" xfId="10411" applyFont="1" applyFill="1" applyBorder="1" applyAlignment="1">
      <alignment horizontal="left" vertical="top"/>
    </xf>
    <xf numFmtId="0" fontId="34" fillId="3" borderId="144" xfId="2" applyFont="1" applyFill="1" applyBorder="1" applyAlignment="1">
      <alignment horizontal="left" vertical="top" wrapText="1"/>
    </xf>
    <xf numFmtId="0" fontId="34" fillId="3" borderId="144" xfId="10411" applyFont="1" applyFill="1" applyBorder="1" applyAlignment="1">
      <alignment horizontal="left" vertical="top" wrapText="1"/>
    </xf>
    <xf numFmtId="0" fontId="34" fillId="0" borderId="0" xfId="0" applyFont="1" applyAlignment="1">
      <alignment horizontal="left"/>
    </xf>
    <xf numFmtId="0" fontId="31" fillId="0" borderId="0" xfId="0" applyFont="1" applyAlignment="1">
      <alignment horizontal="left"/>
    </xf>
    <xf numFmtId="0" fontId="10" fillId="0" borderId="0" xfId="0" applyFont="1" applyAlignment="1">
      <alignment horizontal="left"/>
    </xf>
    <xf numFmtId="0" fontId="13" fillId="0" borderId="31" xfId="10414" applyBorder="1"/>
    <xf numFmtId="0" fontId="13" fillId="0" borderId="25" xfId="10414" applyBorder="1" applyAlignment="1">
      <alignment horizontal="center"/>
    </xf>
    <xf numFmtId="0" fontId="13" fillId="0" borderId="25" xfId="10414" applyBorder="1"/>
    <xf numFmtId="0" fontId="13" fillId="0" borderId="26" xfId="10414" applyBorder="1"/>
    <xf numFmtId="0" fontId="13" fillId="0" borderId="48" xfId="10414" applyBorder="1" applyAlignment="1">
      <alignment horizontal="center" vertical="center"/>
    </xf>
    <xf numFmtId="0" fontId="13" fillId="0" borderId="19" xfId="10414" applyBorder="1" applyAlignment="1">
      <alignment horizontal="center" vertical="center" wrapText="1"/>
    </xf>
    <xf numFmtId="0" fontId="13" fillId="0" borderId="21" xfId="10414" applyBorder="1" applyAlignment="1">
      <alignment horizontal="center" vertical="center" wrapText="1"/>
    </xf>
    <xf numFmtId="0" fontId="9" fillId="3" borderId="29" xfId="0" applyFont="1" applyFill="1" applyBorder="1" applyAlignment="1">
      <alignment vertical="top" wrapText="1"/>
    </xf>
    <xf numFmtId="0" fontId="9" fillId="3" borderId="23" xfId="0" applyFont="1" applyFill="1" applyBorder="1" applyAlignment="1">
      <alignment vertical="top" wrapText="1"/>
    </xf>
    <xf numFmtId="0" fontId="9" fillId="3" borderId="27"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9" xfId="0" applyFont="1" applyFill="1" applyBorder="1" applyAlignment="1">
      <alignment horizontal="center" vertical="top" wrapText="1"/>
    </xf>
    <xf numFmtId="0" fontId="9" fillId="3" borderId="23" xfId="0" applyFont="1" applyFill="1" applyBorder="1" applyAlignment="1">
      <alignment horizontal="center" vertical="top" wrapText="1"/>
    </xf>
    <xf numFmtId="0" fontId="9" fillId="3" borderId="27" xfId="0" applyFont="1" applyFill="1" applyBorder="1" applyAlignment="1">
      <alignment horizontal="center" vertical="top" wrapText="1"/>
    </xf>
    <xf numFmtId="0" fontId="10" fillId="3" borderId="23" xfId="0" applyFont="1" applyFill="1" applyBorder="1" applyAlignment="1">
      <alignment vertical="top" wrapText="1"/>
    </xf>
    <xf numFmtId="0" fontId="10" fillId="3" borderId="27" xfId="0" applyFont="1" applyFill="1" applyBorder="1" applyAlignment="1">
      <alignment vertical="top" wrapText="1"/>
    </xf>
    <xf numFmtId="166" fontId="10" fillId="3" borderId="23" xfId="0" applyNumberFormat="1" applyFont="1" applyFill="1" applyBorder="1" applyAlignment="1">
      <alignment horizontal="right" vertical="top" wrapText="1"/>
    </xf>
    <xf numFmtId="0" fontId="9" fillId="3" borderId="40" xfId="0" applyFont="1" applyFill="1" applyBorder="1" applyAlignment="1">
      <alignment vertical="top" wrapText="1"/>
    </xf>
    <xf numFmtId="14" fontId="10" fillId="3" borderId="33" xfId="0" applyNumberFormat="1" applyFont="1" applyFill="1" applyBorder="1" applyAlignment="1">
      <alignment vertical="top" wrapText="1"/>
    </xf>
    <xf numFmtId="0" fontId="32" fillId="3" borderId="39" xfId="0" applyFont="1" applyFill="1" applyBorder="1" applyAlignment="1">
      <alignment vertical="top" wrapText="1"/>
    </xf>
    <xf numFmtId="166" fontId="10" fillId="3" borderId="33" xfId="0" applyNumberFormat="1" applyFont="1" applyFill="1" applyBorder="1" applyAlignment="1">
      <alignment horizontal="right" vertical="top" wrapText="1"/>
    </xf>
    <xf numFmtId="0" fontId="9" fillId="3" borderId="79" xfId="0" applyFont="1" applyFill="1" applyBorder="1" applyAlignment="1">
      <alignment vertical="top" wrapText="1"/>
    </xf>
    <xf numFmtId="0" fontId="9" fillId="3" borderId="78" xfId="0" applyFont="1" applyFill="1" applyBorder="1" applyAlignment="1">
      <alignment vertical="top" wrapText="1"/>
    </xf>
    <xf numFmtId="0" fontId="9" fillId="3" borderId="88" xfId="0" applyFont="1" applyFill="1" applyBorder="1" applyAlignment="1">
      <alignment vertical="top" wrapText="1"/>
    </xf>
    <xf numFmtId="0" fontId="10" fillId="3" borderId="78" xfId="0" applyFont="1" applyFill="1" applyBorder="1" applyAlignment="1">
      <alignment vertical="top" wrapText="1"/>
    </xf>
    <xf numFmtId="0" fontId="32" fillId="3" borderId="88" xfId="0" applyFont="1" applyFill="1" applyBorder="1" applyAlignment="1">
      <alignment vertical="top" wrapText="1"/>
    </xf>
    <xf numFmtId="166" fontId="10" fillId="3" borderId="78" xfId="0" applyNumberFormat="1" applyFont="1" applyFill="1" applyBorder="1" applyAlignment="1">
      <alignment horizontal="right" vertical="top" wrapText="1"/>
    </xf>
    <xf numFmtId="0" fontId="9" fillId="3" borderId="80" xfId="0" applyFont="1" applyFill="1" applyBorder="1" applyAlignment="1">
      <alignment vertical="top" wrapText="1"/>
    </xf>
    <xf numFmtId="0" fontId="9" fillId="3" borderId="86" xfId="0" applyFont="1" applyFill="1" applyBorder="1" applyAlignment="1">
      <alignment vertical="top" wrapText="1"/>
    </xf>
    <xf numFmtId="0" fontId="9" fillId="3" borderId="52" xfId="0" applyFont="1" applyFill="1" applyBorder="1" applyAlignment="1">
      <alignment vertical="top" wrapText="1"/>
    </xf>
    <xf numFmtId="166" fontId="9" fillId="3" borderId="86" xfId="0" applyNumberFormat="1" applyFont="1" applyFill="1" applyBorder="1" applyAlignment="1">
      <alignment horizontal="right" vertical="top" wrapText="1"/>
    </xf>
    <xf numFmtId="0" fontId="10" fillId="3" borderId="24" xfId="0" applyFont="1" applyFill="1" applyBorder="1" applyAlignment="1">
      <alignment vertical="top" wrapText="1"/>
    </xf>
    <xf numFmtId="168" fontId="10" fillId="3" borderId="23" xfId="0" applyNumberFormat="1" applyFont="1" applyFill="1" applyBorder="1" applyAlignment="1">
      <alignment horizontal="right" vertical="top" wrapText="1"/>
    </xf>
    <xf numFmtId="0" fontId="10" fillId="3" borderId="33" xfId="0" applyFont="1" applyFill="1" applyBorder="1" applyAlignment="1">
      <alignment vertical="top" wrapText="1"/>
    </xf>
    <xf numFmtId="166" fontId="10" fillId="3" borderId="51" xfId="0" applyNumberFormat="1" applyFont="1" applyFill="1" applyBorder="1" applyAlignment="1">
      <alignment horizontal="right" vertical="top" wrapText="1"/>
    </xf>
    <xf numFmtId="166" fontId="28" fillId="3" borderId="128" xfId="0" applyNumberFormat="1" applyFont="1" applyFill="1" applyBorder="1" applyAlignment="1">
      <alignment horizontal="right" vertical="top" wrapText="1"/>
    </xf>
    <xf numFmtId="168" fontId="28" fillId="3" borderId="128" xfId="0" applyNumberFormat="1" applyFont="1" applyFill="1" applyBorder="1" applyAlignment="1">
      <alignment horizontal="right" vertical="top" wrapText="1"/>
    </xf>
    <xf numFmtId="166" fontId="10" fillId="3" borderId="128" xfId="0" applyNumberFormat="1" applyFont="1" applyFill="1" applyBorder="1" applyAlignment="1">
      <alignment horizontal="right" vertical="top" wrapText="1"/>
    </xf>
    <xf numFmtId="166" fontId="9" fillId="3" borderId="128" xfId="0" applyNumberFormat="1" applyFont="1" applyFill="1" applyBorder="1" applyAlignment="1">
      <alignment horizontal="right" vertical="top" wrapText="1"/>
    </xf>
    <xf numFmtId="166" fontId="9" fillId="3" borderId="128" xfId="0" applyNumberFormat="1" applyFont="1" applyFill="1" applyBorder="1" applyAlignment="1">
      <alignment horizontal="right" vertical="center"/>
    </xf>
    <xf numFmtId="0" fontId="9" fillId="3" borderId="88" xfId="0" applyFont="1" applyFill="1" applyBorder="1" applyAlignment="1">
      <alignment wrapText="1"/>
    </xf>
    <xf numFmtId="0" fontId="32" fillId="3" borderId="88" xfId="0" applyFont="1" applyFill="1" applyBorder="1" applyAlignment="1">
      <alignment wrapText="1"/>
    </xf>
    <xf numFmtId="168" fontId="10" fillId="3" borderId="128" xfId="0" applyNumberFormat="1" applyFont="1" applyFill="1" applyBorder="1" applyAlignment="1">
      <alignment horizontal="right" vertical="top" wrapText="1"/>
    </xf>
    <xf numFmtId="0" fontId="9" fillId="3" borderId="88" xfId="0" applyFont="1" applyFill="1" applyBorder="1"/>
    <xf numFmtId="0" fontId="9" fillId="3" borderId="128" xfId="0" applyFont="1" applyFill="1" applyBorder="1" applyAlignment="1">
      <alignment horizontal="right" vertical="top" wrapText="1"/>
    </xf>
    <xf numFmtId="0" fontId="34" fillId="3" borderId="0" xfId="3055" applyFont="1" applyFill="1" applyBorder="1" applyAlignment="1">
      <alignment vertical="center" wrapText="1"/>
    </xf>
    <xf numFmtId="0" fontId="9" fillId="3" borderId="88" xfId="3055" applyFont="1" applyFill="1" applyBorder="1" applyAlignment="1">
      <alignment vertical="center" wrapText="1"/>
    </xf>
    <xf numFmtId="0" fontId="9" fillId="3" borderId="128" xfId="0" applyFont="1" applyFill="1" applyBorder="1" applyAlignment="1">
      <alignment horizontal="right"/>
    </xf>
    <xf numFmtId="0" fontId="34" fillId="3" borderId="78" xfId="3055" applyFont="1" applyFill="1" applyBorder="1" applyAlignment="1">
      <alignment vertical="center" wrapText="1"/>
    </xf>
    <xf numFmtId="0" fontId="34" fillId="3" borderId="33" xfId="3055" applyFont="1" applyFill="1" applyBorder="1" applyAlignment="1">
      <alignment vertical="center" wrapText="1"/>
    </xf>
    <xf numFmtId="0" fontId="9" fillId="3" borderId="127" xfId="0" applyFont="1" applyFill="1" applyBorder="1" applyAlignment="1">
      <alignment vertical="top" wrapText="1"/>
    </xf>
    <xf numFmtId="0" fontId="34" fillId="3" borderId="128" xfId="3055" applyFont="1" applyFill="1" applyBorder="1" applyAlignment="1">
      <alignment vertical="center" wrapText="1"/>
    </xf>
    <xf numFmtId="168" fontId="9" fillId="3" borderId="128" xfId="0" applyNumberFormat="1" applyFont="1" applyFill="1" applyBorder="1" applyAlignment="1">
      <alignment horizontal="right" vertical="top" wrapText="1"/>
    </xf>
    <xf numFmtId="0" fontId="9" fillId="3" borderId="128" xfId="0" applyFont="1" applyFill="1" applyBorder="1" applyAlignment="1">
      <alignment vertical="top" wrapText="1"/>
    </xf>
    <xf numFmtId="0" fontId="9" fillId="3" borderId="0" xfId="0" applyFont="1" applyFill="1" applyAlignment="1">
      <alignment wrapText="1"/>
    </xf>
    <xf numFmtId="0" fontId="9" fillId="3" borderId="128" xfId="0" applyFont="1" applyFill="1" applyBorder="1" applyAlignment="1">
      <alignment wrapText="1"/>
    </xf>
    <xf numFmtId="0" fontId="9" fillId="3" borderId="49" xfId="0" applyFont="1" applyFill="1" applyBorder="1" applyAlignment="1">
      <alignment wrapText="1"/>
    </xf>
    <xf numFmtId="0" fontId="9" fillId="3" borderId="55" xfId="0" applyFont="1" applyFill="1" applyBorder="1" applyAlignment="1">
      <alignment horizontal="right" vertical="top" wrapText="1"/>
    </xf>
    <xf numFmtId="0" fontId="9" fillId="3" borderId="57" xfId="0" applyFont="1" applyFill="1" applyBorder="1" applyAlignment="1">
      <alignment vertical="top" wrapText="1"/>
    </xf>
    <xf numFmtId="0" fontId="10" fillId="3" borderId="78" xfId="0" applyFont="1" applyFill="1" applyBorder="1" applyAlignment="1">
      <alignment horizontal="right" vertical="top" wrapText="1"/>
    </xf>
    <xf numFmtId="0" fontId="10" fillId="3" borderId="86" xfId="0" applyFont="1" applyFill="1" applyBorder="1" applyAlignment="1">
      <alignment vertical="top" wrapText="1"/>
    </xf>
    <xf numFmtId="0" fontId="32" fillId="3" borderId="52" xfId="0" applyFont="1" applyFill="1" applyBorder="1" applyAlignment="1">
      <alignment vertical="top" wrapText="1"/>
    </xf>
    <xf numFmtId="166" fontId="10" fillId="3" borderId="86" xfId="0" applyNumberFormat="1" applyFont="1" applyFill="1" applyBorder="1" applyAlignment="1">
      <alignment horizontal="right" vertical="top" wrapText="1"/>
    </xf>
    <xf numFmtId="0" fontId="10" fillId="3" borderId="27" xfId="0" applyFont="1" applyFill="1" applyBorder="1" applyAlignment="1">
      <alignment wrapText="1"/>
    </xf>
    <xf numFmtId="0" fontId="9" fillId="3" borderId="39" xfId="0" applyFont="1" applyFill="1" applyBorder="1" applyAlignment="1">
      <alignment vertical="top" wrapText="1"/>
    </xf>
    <xf numFmtId="166" fontId="9" fillId="3" borderId="33" xfId="0" applyNumberFormat="1" applyFont="1" applyFill="1" applyBorder="1" applyAlignment="1">
      <alignment horizontal="right" vertical="top" wrapText="1"/>
    </xf>
    <xf numFmtId="168" fontId="9" fillId="3" borderId="78" xfId="0" applyNumberFormat="1" applyFont="1" applyFill="1" applyBorder="1" applyAlignment="1">
      <alignment horizontal="right"/>
    </xf>
    <xf numFmtId="0" fontId="9" fillId="3" borderId="80" xfId="0" applyFont="1" applyFill="1" applyBorder="1"/>
    <xf numFmtId="0" fontId="9" fillId="3" borderId="86" xfId="0" applyFont="1" applyFill="1" applyBorder="1"/>
    <xf numFmtId="166" fontId="9" fillId="3" borderId="86" xfId="0" applyNumberFormat="1" applyFont="1" applyFill="1" applyBorder="1" applyAlignment="1">
      <alignment horizontal="right"/>
    </xf>
    <xf numFmtId="0" fontId="10" fillId="3" borderId="29" xfId="0" applyFont="1" applyFill="1" applyBorder="1"/>
    <xf numFmtId="0" fontId="10" fillId="3" borderId="23" xfId="0" applyFont="1" applyFill="1" applyBorder="1"/>
    <xf numFmtId="168" fontId="10" fillId="3" borderId="23" xfId="0" applyNumberFormat="1" applyFont="1" applyFill="1" applyBorder="1" applyAlignment="1">
      <alignment horizontal="right"/>
    </xf>
    <xf numFmtId="0" fontId="29" fillId="3" borderId="23" xfId="0" applyFont="1" applyFill="1" applyBorder="1" applyAlignment="1">
      <alignment vertical="center" wrapText="1"/>
    </xf>
    <xf numFmtId="0" fontId="29" fillId="3" borderId="23" xfId="0" applyFont="1" applyFill="1" applyBorder="1" applyAlignment="1">
      <alignment horizontal="center" vertical="center" wrapText="1"/>
    </xf>
    <xf numFmtId="0" fontId="29" fillId="3" borderId="24" xfId="0" applyFont="1" applyFill="1" applyBorder="1" applyAlignment="1">
      <alignment horizontal="center" vertical="center"/>
    </xf>
    <xf numFmtId="0" fontId="9" fillId="3" borderId="29" xfId="0" applyFont="1" applyFill="1" applyBorder="1" applyAlignment="1">
      <alignment vertical="center"/>
    </xf>
    <xf numFmtId="0" fontId="10" fillId="3" borderId="23" xfId="0" applyFont="1" applyFill="1" applyBorder="1" applyAlignment="1">
      <alignment vertical="center" wrapText="1"/>
    </xf>
    <xf numFmtId="166" fontId="10" fillId="3" borderId="23" xfId="0" applyNumberFormat="1" applyFont="1" applyFill="1" applyBorder="1" applyAlignment="1">
      <alignment horizontal="right" vertical="center" wrapText="1"/>
    </xf>
    <xf numFmtId="0" fontId="9" fillId="3" borderId="35" xfId="0" applyFont="1" applyFill="1" applyBorder="1" applyAlignment="1">
      <alignment vertical="center"/>
    </xf>
    <xf numFmtId="0" fontId="9" fillId="3" borderId="33" xfId="0" applyFont="1" applyFill="1" applyBorder="1" applyAlignment="1">
      <alignment vertical="center" wrapText="1"/>
    </xf>
    <xf numFmtId="166" fontId="9" fillId="3" borderId="33" xfId="0" applyNumberFormat="1" applyFont="1" applyFill="1" applyBorder="1" applyAlignment="1">
      <alignment horizontal="right" vertical="center"/>
    </xf>
    <xf numFmtId="0" fontId="9" fillId="3" borderId="78" xfId="0" applyFont="1" applyFill="1" applyBorder="1" applyAlignment="1">
      <alignment vertical="center" wrapText="1"/>
    </xf>
    <xf numFmtId="166" fontId="9" fillId="3" borderId="78" xfId="0" applyNumberFormat="1" applyFont="1" applyFill="1" applyBorder="1" applyAlignment="1">
      <alignment horizontal="right" vertical="center"/>
    </xf>
    <xf numFmtId="0" fontId="9" fillId="3" borderId="93" xfId="0" applyFont="1" applyFill="1" applyBorder="1" applyAlignment="1">
      <alignment vertical="center"/>
    </xf>
    <xf numFmtId="0" fontId="9" fillId="3" borderId="86" xfId="0" applyFont="1" applyFill="1" applyBorder="1" applyAlignment="1">
      <alignment vertical="center" wrapText="1"/>
    </xf>
    <xf numFmtId="166" fontId="9" fillId="3" borderId="86" xfId="0" applyNumberFormat="1" applyFont="1" applyFill="1" applyBorder="1" applyAlignment="1">
      <alignment horizontal="right" vertical="center"/>
    </xf>
    <xf numFmtId="0" fontId="9" fillId="3" borderId="23" xfId="0" applyFont="1" applyFill="1" applyBorder="1" applyAlignment="1">
      <alignment vertical="center"/>
    </xf>
    <xf numFmtId="166" fontId="10" fillId="3" borderId="23" xfId="0" applyNumberFormat="1" applyFont="1" applyFill="1" applyBorder="1" applyAlignment="1">
      <alignment horizontal="right" vertical="center"/>
    </xf>
    <xf numFmtId="0" fontId="9" fillId="3" borderId="49" xfId="0" applyFont="1" applyFill="1" applyBorder="1" applyAlignment="1">
      <alignment vertical="center" wrapText="1"/>
    </xf>
    <xf numFmtId="166" fontId="9" fillId="3" borderId="49" xfId="0" applyNumberFormat="1" applyFont="1" applyFill="1" applyBorder="1" applyAlignment="1">
      <alignment horizontal="right" vertical="center"/>
    </xf>
    <xf numFmtId="0" fontId="9" fillId="3" borderId="46" xfId="0" applyFont="1" applyFill="1" applyBorder="1" applyAlignment="1">
      <alignment vertical="center"/>
    </xf>
    <xf numFmtId="0" fontId="10" fillId="3" borderId="23" xfId="0" applyFont="1" applyFill="1" applyBorder="1" applyAlignment="1">
      <alignment wrapText="1"/>
    </xf>
    <xf numFmtId="166" fontId="9" fillId="3" borderId="33" xfId="0" applyNumberFormat="1" applyFont="1" applyFill="1" applyBorder="1" applyAlignment="1">
      <alignment horizontal="right"/>
    </xf>
    <xf numFmtId="0" fontId="32" fillId="3" borderId="23" xfId="0" applyFont="1" applyFill="1" applyBorder="1" applyAlignment="1">
      <alignment vertical="center" wrapText="1"/>
    </xf>
    <xf numFmtId="166" fontId="9" fillId="3" borderId="129" xfId="0" applyNumberFormat="1" applyFont="1" applyFill="1" applyBorder="1" applyAlignment="1">
      <alignment horizontal="right" vertical="center"/>
    </xf>
    <xf numFmtId="0" fontId="9" fillId="3" borderId="55" xfId="0" applyFont="1" applyFill="1" applyBorder="1" applyAlignment="1">
      <alignment vertical="center"/>
    </xf>
    <xf numFmtId="168" fontId="10" fillId="3" borderId="23" xfId="0" applyNumberFormat="1" applyFont="1" applyFill="1" applyBorder="1" applyAlignment="1">
      <alignment horizontal="right" vertical="center"/>
    </xf>
    <xf numFmtId="0" fontId="9" fillId="3" borderId="44" xfId="0" applyFont="1" applyFill="1" applyBorder="1" applyAlignment="1">
      <alignment vertical="center" wrapText="1"/>
    </xf>
    <xf numFmtId="0" fontId="9" fillId="3" borderId="135" xfId="3055" applyFont="1" applyFill="1" applyBorder="1" applyAlignment="1">
      <alignment vertical="center" wrapText="1"/>
    </xf>
    <xf numFmtId="0" fontId="9" fillId="3" borderId="0" xfId="3055" applyFont="1" applyFill="1" applyBorder="1" applyAlignment="1">
      <alignment vertical="center" wrapText="1"/>
    </xf>
    <xf numFmtId="168" fontId="9" fillId="3" borderId="49" xfId="0" applyNumberFormat="1" applyFont="1" applyFill="1" applyBorder="1" applyAlignment="1">
      <alignment horizontal="right" vertical="top" wrapText="1"/>
    </xf>
    <xf numFmtId="169" fontId="9" fillId="3" borderId="55" xfId="0" applyNumberFormat="1" applyFont="1" applyFill="1" applyBorder="1" applyAlignment="1">
      <alignment horizontal="right" vertical="top" wrapText="1"/>
    </xf>
    <xf numFmtId="166" fontId="10" fillId="3" borderId="23" xfId="0" applyNumberFormat="1" applyFont="1" applyFill="1" applyBorder="1" applyAlignment="1">
      <alignment horizontal="right"/>
    </xf>
    <xf numFmtId="166" fontId="9" fillId="3" borderId="49" xfId="0" applyNumberFormat="1" applyFont="1" applyFill="1" applyBorder="1" applyAlignment="1">
      <alignment horizontal="right"/>
    </xf>
    <xf numFmtId="0" fontId="9" fillId="3" borderId="51" xfId="3055" applyFont="1" applyFill="1" applyBorder="1" applyAlignment="1">
      <alignment vertical="center" wrapText="1"/>
    </xf>
    <xf numFmtId="166" fontId="9" fillId="3" borderId="51" xfId="0" applyNumberFormat="1" applyFont="1" applyFill="1" applyBorder="1" applyAlignment="1">
      <alignment horizontal="right"/>
    </xf>
    <xf numFmtId="0" fontId="9" fillId="3" borderId="145" xfId="0" applyFont="1" applyFill="1" applyBorder="1" applyAlignment="1">
      <alignment vertical="center"/>
    </xf>
    <xf numFmtId="0" fontId="9" fillId="3" borderId="49" xfId="0" applyFont="1" applyFill="1" applyBorder="1" applyAlignment="1">
      <alignment horizontal="right" vertical="top" wrapText="1"/>
    </xf>
    <xf numFmtId="0" fontId="10" fillId="3" borderId="27" xfId="0" applyFont="1" applyFill="1" applyBorder="1"/>
    <xf numFmtId="0" fontId="34" fillId="0" borderId="23" xfId="0" applyFont="1" applyBorder="1" applyAlignment="1">
      <alignment horizontal="right" vertical="top" wrapText="1"/>
    </xf>
    <xf numFmtId="168" fontId="42" fillId="0" borderId="132" xfId="0" applyNumberFormat="1" applyFont="1" applyBorder="1"/>
    <xf numFmtId="166" fontId="42" fillId="0" borderId="132" xfId="4" applyNumberFormat="1" applyFont="1" applyBorder="1"/>
    <xf numFmtId="0" fontId="34" fillId="0" borderId="0" xfId="3055" applyFont="1" applyFill="1" applyBorder="1" applyAlignment="1">
      <alignment vertical="center" wrapText="1"/>
    </xf>
    <xf numFmtId="167" fontId="25" fillId="0" borderId="78" xfId="0" applyNumberFormat="1" applyFont="1" applyBorder="1"/>
    <xf numFmtId="168" fontId="25" fillId="0" borderId="86" xfId="0" applyNumberFormat="1" applyFont="1" applyBorder="1"/>
    <xf numFmtId="166" fontId="25" fillId="0" borderId="109" xfId="0" applyNumberFormat="1" applyFont="1" applyBorder="1" applyAlignment="1">
      <alignment wrapText="1"/>
    </xf>
    <xf numFmtId="166" fontId="25" fillId="0" borderId="23" xfId="0" applyNumberFormat="1" applyFont="1" applyBorder="1"/>
    <xf numFmtId="0" fontId="25" fillId="0" borderId="23" xfId="0" applyFont="1" applyBorder="1" applyAlignment="1">
      <alignment vertical="top"/>
    </xf>
    <xf numFmtId="168" fontId="25" fillId="0" borderId="31" xfId="0" applyNumberFormat="1" applyFont="1" applyBorder="1"/>
    <xf numFmtId="168" fontId="25" fillId="0" borderId="23" xfId="0" applyNumberFormat="1" applyFont="1" applyBorder="1"/>
    <xf numFmtId="168" fontId="25" fillId="0" borderId="27" xfId="0" applyNumberFormat="1" applyFont="1" applyBorder="1"/>
    <xf numFmtId="166" fontId="25" fillId="0" borderId="27" xfId="0" applyNumberFormat="1" applyFont="1" applyBorder="1"/>
    <xf numFmtId="0" fontId="34" fillId="3" borderId="23" xfId="0" applyFont="1" applyFill="1" applyBorder="1" applyAlignment="1">
      <alignment vertical="top"/>
    </xf>
    <xf numFmtId="0" fontId="25" fillId="3" borderId="0" xfId="0" applyFont="1" applyFill="1" applyAlignment="1">
      <alignment wrapText="1"/>
    </xf>
    <xf numFmtId="168" fontId="25" fillId="3" borderId="42" xfId="0" applyNumberFormat="1" applyFont="1" applyFill="1" applyBorder="1"/>
    <xf numFmtId="166" fontId="25" fillId="3" borderId="23" xfId="0" applyNumberFormat="1" applyFont="1" applyFill="1" applyBorder="1"/>
    <xf numFmtId="168" fontId="25" fillId="3" borderId="23" xfId="0" applyNumberFormat="1" applyFont="1" applyFill="1" applyBorder="1"/>
    <xf numFmtId="166" fontId="25" fillId="3" borderId="97" xfId="0" applyNumberFormat="1" applyFont="1" applyFill="1" applyBorder="1"/>
    <xf numFmtId="166" fontId="25" fillId="3" borderId="29" xfId="0" applyNumberFormat="1" applyFont="1" applyFill="1" applyBorder="1"/>
    <xf numFmtId="0" fontId="34" fillId="3" borderId="23" xfId="0" applyFont="1" applyFill="1" applyBorder="1"/>
    <xf numFmtId="0" fontId="34" fillId="3" borderId="56" xfId="0" applyFont="1" applyFill="1" applyBorder="1" applyAlignment="1">
      <alignment vertical="top"/>
    </xf>
    <xf numFmtId="0" fontId="25" fillId="3" borderId="102" xfId="0" applyFont="1" applyFill="1" applyBorder="1" applyAlignment="1">
      <alignment horizontal="left" vertical="center" wrapText="1"/>
    </xf>
    <xf numFmtId="166" fontId="25" fillId="3" borderId="22" xfId="0" applyNumberFormat="1" applyFont="1" applyFill="1" applyBorder="1"/>
    <xf numFmtId="166" fontId="25" fillId="3" borderId="103" xfId="0" applyNumberFormat="1" applyFont="1" applyFill="1" applyBorder="1" applyAlignment="1">
      <alignment wrapText="1"/>
    </xf>
    <xf numFmtId="166" fontId="25" fillId="3" borderId="76" xfId="0" applyNumberFormat="1" applyFont="1" applyFill="1" applyBorder="1"/>
    <xf numFmtId="166" fontId="25" fillId="3" borderId="49" xfId="0" applyNumberFormat="1" applyFont="1" applyFill="1" applyBorder="1"/>
    <xf numFmtId="166" fontId="34" fillId="3" borderId="39" xfId="0" applyNumberFormat="1" applyFont="1" applyFill="1" applyBorder="1"/>
    <xf numFmtId="0" fontId="34" fillId="3" borderId="51" xfId="0" applyFont="1" applyFill="1" applyBorder="1"/>
    <xf numFmtId="0" fontId="42" fillId="3" borderId="82" xfId="0" applyFont="1" applyFill="1" applyBorder="1"/>
    <xf numFmtId="166" fontId="42" fillId="3" borderId="78" xfId="0" applyNumberFormat="1" applyFont="1" applyFill="1" applyBorder="1"/>
    <xf numFmtId="166" fontId="42" fillId="3" borderId="85" xfId="9" applyNumberFormat="1" applyFont="1" applyFill="1" applyBorder="1" applyAlignment="1">
      <alignment wrapText="1"/>
    </xf>
    <xf numFmtId="166" fontId="34" fillId="3" borderId="88" xfId="0" applyNumberFormat="1" applyFont="1" applyFill="1" applyBorder="1"/>
    <xf numFmtId="0" fontId="25" fillId="3" borderId="56" xfId="0" applyFont="1" applyFill="1" applyBorder="1"/>
    <xf numFmtId="168" fontId="25" fillId="3" borderId="78" xfId="0" applyNumberFormat="1" applyFont="1" applyFill="1" applyBorder="1"/>
    <xf numFmtId="166" fontId="25" fillId="3" borderId="99" xfId="0" applyNumberFormat="1" applyFont="1" applyFill="1" applyBorder="1"/>
    <xf numFmtId="168" fontId="25" fillId="3" borderId="99" xfId="0" applyNumberFormat="1" applyFont="1" applyFill="1" applyBorder="1"/>
    <xf numFmtId="166" fontId="25" fillId="3" borderId="88" xfId="0" applyNumberFormat="1" applyFont="1" applyFill="1" applyBorder="1"/>
    <xf numFmtId="168" fontId="42" fillId="3" borderId="78" xfId="0" applyNumberFormat="1" applyFont="1" applyFill="1" applyBorder="1"/>
    <xf numFmtId="166" fontId="42" fillId="3" borderId="89" xfId="0" applyNumberFormat="1" applyFont="1" applyFill="1" applyBorder="1"/>
    <xf numFmtId="166" fontId="42" fillId="3" borderId="88" xfId="0" applyNumberFormat="1" applyFont="1" applyFill="1" applyBorder="1"/>
    <xf numFmtId="0" fontId="42" fillId="3" borderId="82" xfId="0" applyFont="1" applyFill="1" applyBorder="1" applyAlignment="1">
      <alignment horizontal="left" vertical="center" wrapText="1"/>
    </xf>
    <xf numFmtId="168" fontId="34" fillId="3" borderId="78" xfId="0" applyNumberFormat="1" applyFont="1" applyFill="1" applyBorder="1"/>
    <xf numFmtId="166" fontId="42" fillId="3" borderId="85" xfId="0" applyNumberFormat="1" applyFont="1" applyFill="1" applyBorder="1"/>
    <xf numFmtId="0" fontId="42" fillId="3" borderId="79" xfId="0" applyFont="1" applyFill="1" applyBorder="1" applyAlignment="1">
      <alignment vertical="top" wrapText="1"/>
    </xf>
    <xf numFmtId="0" fontId="25" fillId="3" borderId="82" xfId="0" applyFont="1" applyFill="1" applyBorder="1"/>
    <xf numFmtId="166" fontId="25" fillId="3" borderId="101" xfId="0" applyNumberFormat="1" applyFont="1" applyFill="1" applyBorder="1"/>
    <xf numFmtId="166" fontId="34" fillId="3" borderId="89" xfId="0" applyNumberFormat="1" applyFont="1" applyFill="1" applyBorder="1"/>
    <xf numFmtId="166" fontId="25" fillId="3" borderId="85" xfId="0" applyNumberFormat="1" applyFont="1" applyFill="1" applyBorder="1"/>
    <xf numFmtId="166" fontId="25" fillId="3" borderId="89" xfId="0" applyNumberFormat="1" applyFont="1" applyFill="1" applyBorder="1"/>
    <xf numFmtId="166" fontId="42" fillId="3" borderId="99" xfId="0" applyNumberFormat="1" applyFont="1" applyFill="1" applyBorder="1"/>
    <xf numFmtId="166" fontId="34" fillId="3" borderId="95" xfId="0" applyNumberFormat="1" applyFont="1" applyFill="1" applyBorder="1"/>
    <xf numFmtId="166" fontId="25" fillId="3" borderId="100" xfId="0" applyNumberFormat="1" applyFont="1" applyFill="1" applyBorder="1"/>
    <xf numFmtId="166" fontId="25" fillId="3" borderId="108" xfId="0" applyNumberFormat="1" applyFont="1" applyFill="1" applyBorder="1"/>
    <xf numFmtId="166" fontId="42" fillId="3" borderId="100" xfId="0" applyNumberFormat="1" applyFont="1" applyFill="1" applyBorder="1"/>
    <xf numFmtId="166" fontId="42" fillId="3" borderId="76" xfId="0" applyNumberFormat="1" applyFont="1" applyFill="1" applyBorder="1"/>
    <xf numFmtId="0" fontId="42" fillId="3" borderId="78" xfId="0" applyFont="1" applyFill="1" applyBorder="1"/>
    <xf numFmtId="0" fontId="42" fillId="3" borderId="79" xfId="0" applyFont="1" applyFill="1" applyBorder="1" applyAlignment="1">
      <alignment wrapText="1"/>
    </xf>
    <xf numFmtId="166" fontId="42" fillId="3" borderId="52" xfId="0" applyNumberFormat="1" applyFont="1" applyFill="1" applyBorder="1"/>
    <xf numFmtId="0" fontId="42" fillId="3" borderId="57" xfId="9" applyFont="1" applyFill="1" applyBorder="1" applyAlignment="1">
      <alignment vertical="top" wrapText="1"/>
    </xf>
    <xf numFmtId="166" fontId="42" fillId="3" borderId="81" xfId="0" applyNumberFormat="1" applyFont="1" applyFill="1" applyBorder="1"/>
    <xf numFmtId="166" fontId="42" fillId="3" borderId="79" xfId="0" applyNumberFormat="1" applyFont="1" applyFill="1" applyBorder="1"/>
    <xf numFmtId="166" fontId="42" fillId="3" borderId="105" xfId="0" applyNumberFormat="1" applyFont="1" applyFill="1" applyBorder="1"/>
    <xf numFmtId="0" fontId="25" fillId="3" borderId="82" xfId="0" applyFont="1" applyFill="1" applyBorder="1" applyAlignment="1">
      <alignment vertical="top" wrapText="1"/>
    </xf>
    <xf numFmtId="0" fontId="42" fillId="3" borderId="82" xfId="0" applyFont="1" applyFill="1" applyBorder="1" applyAlignment="1">
      <alignment vertical="top" wrapText="1"/>
    </xf>
    <xf numFmtId="0" fontId="42" fillId="3" borderId="82" xfId="0" applyFont="1" applyFill="1" applyBorder="1" applyAlignment="1">
      <alignment wrapText="1"/>
    </xf>
    <xf numFmtId="0" fontId="42" fillId="3" borderId="83" xfId="0" applyFont="1" applyFill="1" applyBorder="1"/>
    <xf numFmtId="166" fontId="42" fillId="3" borderId="101" xfId="0" applyNumberFormat="1" applyFont="1" applyFill="1" applyBorder="1"/>
    <xf numFmtId="0" fontId="25" fillId="3" borderId="79" xfId="0" applyFont="1" applyFill="1" applyBorder="1" applyAlignment="1">
      <alignment wrapText="1"/>
    </xf>
    <xf numFmtId="166" fontId="34" fillId="3" borderId="52" xfId="0" applyNumberFormat="1" applyFont="1" applyFill="1" applyBorder="1"/>
    <xf numFmtId="166" fontId="42" fillId="3" borderId="39" xfId="0" applyNumberFormat="1" applyFont="1" applyFill="1" applyBorder="1"/>
    <xf numFmtId="167" fontId="34" fillId="3" borderId="78" xfId="0" applyNumberFormat="1" applyFont="1" applyFill="1" applyBorder="1"/>
    <xf numFmtId="0" fontId="34" fillId="3" borderId="57" xfId="0" applyFont="1" applyFill="1" applyBorder="1" applyAlignment="1">
      <alignment vertical="top"/>
    </xf>
    <xf numFmtId="0" fontId="25" fillId="3" borderId="83" xfId="0" applyFont="1" applyFill="1" applyBorder="1"/>
    <xf numFmtId="166" fontId="25" fillId="3" borderId="104" xfId="0" applyNumberFormat="1" applyFont="1" applyFill="1" applyBorder="1"/>
    <xf numFmtId="166" fontId="25" fillId="3" borderId="90" xfId="0" applyNumberFormat="1" applyFont="1" applyFill="1" applyBorder="1"/>
    <xf numFmtId="166" fontId="25" fillId="3" borderId="95" xfId="0" applyNumberFormat="1" applyFont="1" applyFill="1" applyBorder="1"/>
    <xf numFmtId="0" fontId="34" fillId="3" borderId="18" xfId="0" applyFont="1" applyFill="1" applyBorder="1"/>
    <xf numFmtId="0" fontId="25" fillId="3" borderId="29" xfId="0" applyFont="1" applyFill="1" applyBorder="1" applyAlignment="1">
      <alignment wrapText="1"/>
    </xf>
    <xf numFmtId="166" fontId="25" fillId="3" borderId="24" xfId="0" applyNumberFormat="1" applyFont="1" applyFill="1" applyBorder="1"/>
    <xf numFmtId="166" fontId="25" fillId="3" borderId="27" xfId="0" applyNumberFormat="1" applyFont="1" applyFill="1" applyBorder="1"/>
    <xf numFmtId="166" fontId="25" fillId="3" borderId="87" xfId="0" applyNumberFormat="1" applyFont="1" applyFill="1" applyBorder="1"/>
    <xf numFmtId="166" fontId="42" fillId="3" borderId="98" xfId="0" applyNumberFormat="1" applyFont="1" applyFill="1" applyBorder="1"/>
    <xf numFmtId="0" fontId="42" fillId="3" borderId="78" xfId="9" applyFont="1" applyFill="1" applyBorder="1" applyAlignment="1">
      <alignment vertical="top" wrapText="1"/>
    </xf>
    <xf numFmtId="166" fontId="25" fillId="3" borderId="33" xfId="0" applyNumberFormat="1" applyFont="1" applyFill="1" applyBorder="1"/>
    <xf numFmtId="166" fontId="25" fillId="3" borderId="41" xfId="0" applyNumberFormat="1" applyFont="1" applyFill="1" applyBorder="1"/>
    <xf numFmtId="0" fontId="25" fillId="3" borderId="82" xfId="0" applyFont="1" applyFill="1" applyBorder="1" applyAlignment="1">
      <alignment wrapText="1"/>
    </xf>
    <xf numFmtId="0" fontId="25" fillId="3" borderId="82" xfId="0" applyFont="1" applyFill="1" applyBorder="1" applyAlignment="1">
      <alignment vertical="center" wrapText="1"/>
    </xf>
    <xf numFmtId="168" fontId="25" fillId="3" borderId="82" xfId="0" applyNumberFormat="1" applyFont="1" applyFill="1" applyBorder="1"/>
    <xf numFmtId="166" fontId="25" fillId="3" borderId="54" xfId="0" applyNumberFormat="1" applyFont="1" applyFill="1" applyBorder="1"/>
    <xf numFmtId="166" fontId="34" fillId="3" borderId="90" xfId="0" applyNumberFormat="1" applyFont="1" applyFill="1" applyBorder="1"/>
    <xf numFmtId="0" fontId="34" fillId="3" borderId="86" xfId="0" applyFont="1" applyFill="1" applyBorder="1"/>
    <xf numFmtId="166" fontId="34" fillId="3" borderId="23" xfId="0" applyNumberFormat="1" applyFont="1" applyFill="1" applyBorder="1"/>
    <xf numFmtId="166" fontId="34" fillId="3" borderId="27" xfId="0" applyNumberFormat="1" applyFont="1" applyFill="1" applyBorder="1"/>
    <xf numFmtId="0" fontId="25" fillId="3" borderId="57" xfId="0" applyFont="1" applyFill="1" applyBorder="1" applyAlignment="1">
      <alignment wrapText="1"/>
    </xf>
    <xf numFmtId="166" fontId="34" fillId="3" borderId="76" xfId="0" applyNumberFormat="1" applyFont="1" applyFill="1" applyBorder="1"/>
    <xf numFmtId="166" fontId="34" fillId="3" borderId="33" xfId="0" applyNumberFormat="1" applyFont="1" applyFill="1" applyBorder="1"/>
    <xf numFmtId="0" fontId="42" fillId="3" borderId="79" xfId="0" applyFont="1" applyFill="1" applyBorder="1"/>
    <xf numFmtId="0" fontId="25" fillId="3" borderId="79" xfId="0" applyFont="1" applyFill="1" applyBorder="1" applyAlignment="1">
      <alignment vertical="top" wrapText="1"/>
    </xf>
    <xf numFmtId="166" fontId="42" fillId="3" borderId="128" xfId="0" applyNumberFormat="1" applyFont="1" applyFill="1" applyBorder="1"/>
    <xf numFmtId="166" fontId="34" fillId="3" borderId="132" xfId="0" applyNumberFormat="1" applyFont="1" applyFill="1" applyBorder="1"/>
    <xf numFmtId="0" fontId="34" fillId="3" borderId="128" xfId="0" applyFont="1" applyFill="1" applyBorder="1"/>
    <xf numFmtId="0" fontId="34" fillId="3" borderId="136" xfId="0" applyFont="1" applyFill="1" applyBorder="1" applyAlignment="1">
      <alignment vertical="top"/>
    </xf>
    <xf numFmtId="0" fontId="25" fillId="3" borderId="57" xfId="9" applyFont="1" applyFill="1" applyBorder="1" applyAlignment="1">
      <alignment vertical="top" wrapText="1"/>
    </xf>
    <xf numFmtId="166" fontId="25" fillId="3" borderId="128" xfId="0" applyNumberFormat="1" applyFont="1" applyFill="1" applyBorder="1"/>
    <xf numFmtId="166" fontId="25" fillId="3" borderId="133" xfId="0" applyNumberFormat="1" applyFont="1" applyFill="1" applyBorder="1"/>
    <xf numFmtId="0" fontId="42" fillId="3" borderId="128" xfId="0" applyFont="1" applyFill="1" applyBorder="1" applyAlignment="1">
      <alignment vertical="top" wrapText="1"/>
    </xf>
    <xf numFmtId="166" fontId="44" fillId="3" borderId="128" xfId="0" applyNumberFormat="1" applyFont="1" applyFill="1" applyBorder="1"/>
    <xf numFmtId="166" fontId="42" fillId="3" borderId="133" xfId="0" applyNumberFormat="1" applyFont="1" applyFill="1" applyBorder="1"/>
    <xf numFmtId="166" fontId="44" fillId="3" borderId="132" xfId="0" applyNumberFormat="1" applyFont="1" applyFill="1" applyBorder="1"/>
    <xf numFmtId="0" fontId="34" fillId="3" borderId="94" xfId="0" applyFont="1" applyFill="1" applyBorder="1"/>
    <xf numFmtId="166" fontId="34" fillId="3" borderId="47" xfId="0" applyNumberFormat="1" applyFont="1" applyFill="1" applyBorder="1"/>
    <xf numFmtId="166" fontId="25" fillId="3" borderId="86" xfId="0" applyNumberFormat="1" applyFont="1" applyFill="1" applyBorder="1"/>
    <xf numFmtId="0" fontId="25" fillId="3" borderId="29" xfId="0" applyFont="1" applyFill="1" applyBorder="1" applyAlignment="1">
      <alignment horizontal="left" vertical="center" wrapText="1"/>
    </xf>
    <xf numFmtId="168" fontId="25" fillId="3" borderId="97" xfId="0" applyNumberFormat="1" applyFont="1" applyFill="1" applyBorder="1"/>
    <xf numFmtId="0" fontId="25" fillId="3" borderId="51" xfId="0" applyFont="1" applyFill="1" applyBorder="1"/>
    <xf numFmtId="166" fontId="42" fillId="3" borderId="22" xfId="0" applyNumberFormat="1" applyFont="1" applyFill="1" applyBorder="1"/>
    <xf numFmtId="166" fontId="42" fillId="3" borderId="41" xfId="0" applyNumberFormat="1" applyFont="1" applyFill="1" applyBorder="1"/>
    <xf numFmtId="166" fontId="42" fillId="3" borderId="33" xfId="0" applyNumberFormat="1" applyFont="1" applyFill="1" applyBorder="1"/>
    <xf numFmtId="0" fontId="42" fillId="3" borderId="51" xfId="0" applyFont="1" applyFill="1" applyBorder="1"/>
    <xf numFmtId="0" fontId="42" fillId="3" borderId="76" xfId="0" applyFont="1" applyFill="1" applyBorder="1"/>
    <xf numFmtId="0" fontId="42" fillId="3" borderId="126" xfId="0" applyFont="1" applyFill="1" applyBorder="1"/>
    <xf numFmtId="0" fontId="42" fillId="3" borderId="133" xfId="3055" applyFont="1" applyFill="1" applyBorder="1" applyAlignment="1">
      <alignment vertical="center" wrapText="1"/>
    </xf>
    <xf numFmtId="168" fontId="44" fillId="3" borderId="128" xfId="0" applyNumberFormat="1" applyFont="1" applyFill="1" applyBorder="1" applyAlignment="1">
      <alignment horizontal="right" vertical="top" wrapText="1"/>
    </xf>
    <xf numFmtId="0" fontId="42" fillId="3" borderId="128" xfId="0" applyFont="1" applyFill="1" applyBorder="1" applyAlignment="1">
      <alignment wrapText="1"/>
    </xf>
    <xf numFmtId="166" fontId="42" fillId="3" borderId="89" xfId="0" applyNumberFormat="1" applyFont="1" applyFill="1" applyBorder="1" applyAlignment="1">
      <alignment wrapText="1"/>
    </xf>
    <xf numFmtId="166" fontId="42" fillId="3" borderId="78" xfId="0" applyNumberFormat="1" applyFont="1" applyFill="1" applyBorder="1" applyAlignment="1">
      <alignment wrapText="1"/>
    </xf>
    <xf numFmtId="0" fontId="42" fillId="3" borderId="126" xfId="0" applyFont="1" applyFill="1" applyBorder="1" applyAlignment="1">
      <alignment vertical="top" wrapText="1"/>
    </xf>
    <xf numFmtId="166" fontId="42" fillId="3" borderId="90" xfId="0" applyNumberFormat="1" applyFont="1" applyFill="1" applyBorder="1"/>
    <xf numFmtId="0" fontId="42" fillId="3" borderId="33" xfId="0" applyFont="1" applyFill="1" applyBorder="1" applyAlignment="1">
      <alignment wrapText="1"/>
    </xf>
    <xf numFmtId="166" fontId="42" fillId="3" borderId="49" xfId="0" applyNumberFormat="1" applyFont="1" applyFill="1" applyBorder="1"/>
    <xf numFmtId="166" fontId="42" fillId="3" borderId="126" xfId="0" applyNumberFormat="1" applyFont="1" applyFill="1" applyBorder="1"/>
    <xf numFmtId="0" fontId="34" fillId="3" borderId="98" xfId="0" applyFont="1" applyFill="1" applyBorder="1" applyAlignment="1">
      <alignment vertical="top"/>
    </xf>
    <xf numFmtId="0" fontId="42" fillId="3" borderId="128" xfId="3055" applyFont="1" applyFill="1" applyBorder="1" applyAlignment="1">
      <alignment vertical="center" wrapText="1"/>
    </xf>
    <xf numFmtId="0" fontId="42" fillId="3" borderId="128" xfId="9" applyFont="1" applyFill="1" applyBorder="1" applyAlignment="1">
      <alignment vertical="top" wrapText="1"/>
    </xf>
    <xf numFmtId="0" fontId="42" fillId="3" borderId="128" xfId="0" applyFont="1" applyFill="1" applyBorder="1"/>
    <xf numFmtId="166" fontId="42" fillId="3" borderId="143" xfId="0" applyNumberFormat="1" applyFont="1" applyFill="1" applyBorder="1"/>
    <xf numFmtId="166" fontId="42" fillId="3" borderId="141" xfId="0" applyNumberFormat="1" applyFont="1" applyFill="1" applyBorder="1"/>
    <xf numFmtId="0" fontId="25" fillId="3" borderId="128" xfId="9" applyFont="1" applyFill="1" applyBorder="1" applyAlignment="1">
      <alignment vertical="top" wrapText="1"/>
    </xf>
    <xf numFmtId="166" fontId="34" fillId="3" borderId="128" xfId="0" applyNumberFormat="1" applyFont="1" applyFill="1" applyBorder="1"/>
    <xf numFmtId="0" fontId="25" fillId="3" borderId="76" xfId="0" applyFont="1" applyFill="1" applyBorder="1"/>
    <xf numFmtId="166" fontId="34" fillId="3" borderId="85" xfId="0" applyNumberFormat="1" applyFont="1" applyFill="1" applyBorder="1"/>
    <xf numFmtId="166" fontId="34" fillId="3" borderId="141" xfId="0" applyNumberFormat="1" applyFont="1" applyFill="1" applyBorder="1"/>
    <xf numFmtId="0" fontId="25" fillId="3" borderId="126" xfId="0" applyFont="1" applyFill="1" applyBorder="1"/>
    <xf numFmtId="0" fontId="42" fillId="3" borderId="129" xfId="0" applyFont="1" applyFill="1" applyBorder="1" applyAlignment="1">
      <alignment wrapText="1"/>
    </xf>
    <xf numFmtId="0" fontId="25" fillId="3" borderId="131" xfId="0" applyFont="1" applyFill="1" applyBorder="1"/>
    <xf numFmtId="166" fontId="25" fillId="3" borderId="39" xfId="0" applyNumberFormat="1" applyFont="1" applyFill="1" applyBorder="1"/>
    <xf numFmtId="166" fontId="25" fillId="3" borderId="51" xfId="0" applyNumberFormat="1" applyFont="1" applyFill="1" applyBorder="1"/>
    <xf numFmtId="0" fontId="42" fillId="3" borderId="84" xfId="0" applyFont="1" applyFill="1" applyBorder="1"/>
    <xf numFmtId="0" fontId="42" fillId="3" borderId="56" xfId="0" applyFont="1" applyFill="1" applyBorder="1"/>
    <xf numFmtId="0" fontId="34" fillId="3" borderId="128" xfId="0" applyFont="1" applyFill="1" applyBorder="1" applyAlignment="1">
      <alignment vertical="top"/>
    </xf>
    <xf numFmtId="0" fontId="42" fillId="3" borderId="88" xfId="0" applyFont="1" applyFill="1" applyBorder="1" applyAlignment="1">
      <alignment wrapText="1"/>
    </xf>
    <xf numFmtId="166" fontId="42" fillId="3" borderId="137" xfId="0" applyNumberFormat="1" applyFont="1" applyFill="1" applyBorder="1"/>
    <xf numFmtId="0" fontId="42" fillId="3" borderId="127" xfId="0" applyFont="1" applyFill="1" applyBorder="1" applyAlignment="1">
      <alignment wrapText="1"/>
    </xf>
    <xf numFmtId="166" fontId="42" fillId="3" borderId="47" xfId="0" applyNumberFormat="1" applyFont="1" applyFill="1" applyBorder="1"/>
    <xf numFmtId="0" fontId="25" fillId="3" borderId="84" xfId="0" applyFont="1" applyFill="1" applyBorder="1"/>
    <xf numFmtId="0" fontId="25" fillId="3" borderId="77" xfId="0" applyFont="1" applyFill="1" applyBorder="1"/>
    <xf numFmtId="0" fontId="25" fillId="3" borderId="102" xfId="0" applyFont="1" applyFill="1" applyBorder="1" applyAlignment="1">
      <alignment vertical="top" wrapText="1"/>
    </xf>
    <xf numFmtId="166" fontId="25" fillId="3" borderId="44" xfId="0" applyNumberFormat="1" applyFont="1" applyFill="1" applyBorder="1"/>
    <xf numFmtId="166" fontId="25" fillId="3" borderId="4" xfId="0" applyNumberFormat="1" applyFont="1" applyFill="1" applyBorder="1"/>
    <xf numFmtId="166" fontId="34" fillId="3" borderId="58" xfId="0" applyNumberFormat="1" applyFont="1" applyFill="1" applyBorder="1"/>
    <xf numFmtId="166" fontId="34" fillId="3" borderId="56" xfId="0" applyNumberFormat="1" applyFont="1" applyFill="1" applyBorder="1"/>
    <xf numFmtId="166" fontId="42" fillId="3" borderId="94" xfId="0" applyNumberFormat="1" applyFont="1" applyFill="1" applyBorder="1"/>
    <xf numFmtId="166" fontId="34" fillId="3" borderId="94" xfId="0" applyNumberFormat="1" applyFont="1" applyFill="1" applyBorder="1"/>
    <xf numFmtId="166" fontId="41" fillId="3" borderId="89" xfId="0" applyNumberFormat="1" applyFont="1" applyFill="1" applyBorder="1"/>
    <xf numFmtId="166" fontId="41" fillId="3" borderId="78" xfId="0" applyNumberFormat="1" applyFont="1" applyFill="1" applyBorder="1"/>
    <xf numFmtId="166" fontId="42" fillId="3" borderId="83" xfId="0" applyNumberFormat="1" applyFont="1" applyFill="1" applyBorder="1"/>
    <xf numFmtId="166" fontId="42" fillId="3" borderId="95" xfId="0" applyNumberFormat="1" applyFont="1" applyFill="1" applyBorder="1"/>
    <xf numFmtId="166" fontId="34" fillId="3" borderId="79" xfId="0" applyNumberFormat="1" applyFont="1" applyFill="1" applyBorder="1"/>
    <xf numFmtId="166" fontId="34" fillId="3" borderId="83" xfId="0" applyNumberFormat="1" applyFont="1" applyFill="1" applyBorder="1"/>
    <xf numFmtId="0" fontId="42" fillId="3" borderId="91" xfId="0" applyFont="1" applyFill="1" applyBorder="1" applyAlignment="1">
      <alignment wrapText="1"/>
    </xf>
    <xf numFmtId="166" fontId="42" fillId="3" borderId="55" xfId="0" applyNumberFormat="1" applyFont="1" applyFill="1" applyBorder="1"/>
    <xf numFmtId="166" fontId="42" fillId="3" borderId="92" xfId="0" applyNumberFormat="1" applyFont="1" applyFill="1" applyBorder="1"/>
    <xf numFmtId="166" fontId="42" fillId="3" borderId="18" xfId="0" applyNumberFormat="1" applyFont="1" applyFill="1" applyBorder="1"/>
    <xf numFmtId="166" fontId="42" fillId="3" borderId="80" xfId="0" applyNumberFormat="1" applyFont="1" applyFill="1" applyBorder="1"/>
    <xf numFmtId="166" fontId="42" fillId="3" borderId="109" xfId="0" applyNumberFormat="1" applyFont="1" applyFill="1" applyBorder="1"/>
    <xf numFmtId="168" fontId="11" fillId="3" borderId="0" xfId="0" applyNumberFormat="1" applyFont="1" applyFill="1"/>
    <xf numFmtId="0" fontId="31" fillId="3" borderId="0" xfId="0" applyFont="1" applyFill="1" applyAlignment="1">
      <alignment wrapText="1"/>
    </xf>
    <xf numFmtId="168" fontId="42" fillId="3" borderId="85" xfId="0" applyNumberFormat="1" applyFont="1" applyFill="1" applyBorder="1"/>
    <xf numFmtId="167" fontId="25" fillId="3" borderId="85" xfId="0" applyNumberFormat="1" applyFont="1" applyFill="1" applyBorder="1"/>
    <xf numFmtId="168" fontId="25" fillId="3" borderId="85" xfId="0" applyNumberFormat="1" applyFont="1" applyFill="1" applyBorder="1"/>
    <xf numFmtId="167" fontId="25" fillId="3" borderId="100" xfId="0" applyNumberFormat="1" applyFont="1" applyFill="1" applyBorder="1"/>
    <xf numFmtId="166" fontId="42" fillId="3" borderId="78" xfId="4" applyNumberFormat="1" applyFont="1" applyFill="1" applyBorder="1"/>
    <xf numFmtId="166" fontId="34" fillId="3" borderId="133" xfId="0" applyNumberFormat="1" applyFont="1" applyFill="1" applyBorder="1"/>
    <xf numFmtId="166" fontId="42" fillId="3" borderId="0" xfId="0" applyNumberFormat="1" applyFont="1" applyFill="1"/>
    <xf numFmtId="0" fontId="25" fillId="3" borderId="29" xfId="0" applyFont="1" applyFill="1" applyBorder="1"/>
    <xf numFmtId="168" fontId="25" fillId="3" borderId="29" xfId="0" applyNumberFormat="1" applyFont="1" applyFill="1" applyBorder="1" applyAlignment="1">
      <alignment horizontal="right"/>
    </xf>
    <xf numFmtId="168" fontId="25" fillId="3" borderId="23" xfId="0" applyNumberFormat="1" applyFont="1" applyFill="1" applyBorder="1" applyAlignment="1">
      <alignment horizontal="right"/>
    </xf>
    <xf numFmtId="166" fontId="25" fillId="3" borderId="29" xfId="0" applyNumberFormat="1" applyFont="1" applyFill="1" applyBorder="1" applyAlignment="1">
      <alignment horizontal="right"/>
    </xf>
    <xf numFmtId="166" fontId="25" fillId="3" borderId="23" xfId="0" applyNumberFormat="1" applyFont="1" applyFill="1" applyBorder="1" applyAlignment="1">
      <alignment horizontal="right"/>
    </xf>
    <xf numFmtId="0" fontId="34" fillId="3" borderId="159" xfId="0" applyFont="1" applyFill="1" applyBorder="1" applyAlignment="1">
      <alignment vertical="top"/>
    </xf>
    <xf numFmtId="0" fontId="28" fillId="3" borderId="128" xfId="0" applyFont="1" applyFill="1" applyBorder="1" applyAlignment="1">
      <alignment wrapText="1"/>
    </xf>
    <xf numFmtId="0" fontId="42" fillId="3" borderId="0" xfId="3055" applyFont="1" applyFill="1" applyBorder="1" applyAlignment="1">
      <alignment vertical="center" wrapText="1"/>
    </xf>
    <xf numFmtId="0" fontId="11" fillId="0" borderId="140" xfId="4" applyFont="1" applyBorder="1"/>
    <xf numFmtId="0" fontId="25" fillId="0" borderId="140" xfId="4" applyFont="1" applyBorder="1" applyAlignment="1">
      <alignment wrapText="1"/>
    </xf>
    <xf numFmtId="0" fontId="25" fillId="0" borderId="140" xfId="4" applyFont="1" applyBorder="1" applyAlignment="1">
      <alignment horizontal="center" wrapText="1"/>
    </xf>
    <xf numFmtId="0" fontId="25" fillId="0" borderId="140" xfId="4" applyFont="1" applyBorder="1" applyAlignment="1">
      <alignment horizontal="left"/>
    </xf>
    <xf numFmtId="166" fontId="25" fillId="3" borderId="140" xfId="4" applyNumberFormat="1" applyFont="1" applyFill="1" applyBorder="1"/>
    <xf numFmtId="0" fontId="25" fillId="0" borderId="140" xfId="4" applyFont="1" applyBorder="1"/>
    <xf numFmtId="0" fontId="25" fillId="0" borderId="140" xfId="4" applyFont="1" applyBorder="1" applyAlignment="1">
      <alignment horizontal="center"/>
    </xf>
    <xf numFmtId="0" fontId="45" fillId="0" borderId="140" xfId="0" applyFont="1" applyBorder="1" applyAlignment="1">
      <alignment vertical="center" wrapText="1"/>
    </xf>
    <xf numFmtId="0" fontId="45" fillId="0" borderId="140" xfId="0" applyFont="1" applyBorder="1" applyAlignment="1">
      <alignment horizontal="center" vertical="center" wrapText="1"/>
    </xf>
    <xf numFmtId="0" fontId="25" fillId="0" borderId="140" xfId="4" applyFont="1" applyBorder="1" applyAlignment="1">
      <alignment horizontal="left" wrapText="1"/>
    </xf>
    <xf numFmtId="166" fontId="25" fillId="0" borderId="140" xfId="4" applyNumberFormat="1" applyFont="1" applyBorder="1"/>
    <xf numFmtId="0" fontId="34" fillId="0" borderId="140" xfId="4" applyFont="1" applyBorder="1"/>
    <xf numFmtId="0" fontId="34" fillId="0" borderId="140" xfId="4" applyFont="1" applyBorder="1" applyAlignment="1">
      <alignment horizontal="center"/>
    </xf>
    <xf numFmtId="0" fontId="34" fillId="0" borderId="140" xfId="4" applyFont="1" applyBorder="1" applyAlignment="1">
      <alignment horizontal="left"/>
    </xf>
    <xf numFmtId="166" fontId="34" fillId="3" borderId="140" xfId="4" applyNumberFormat="1" applyFont="1" applyFill="1" applyBorder="1"/>
    <xf numFmtId="0" fontId="34" fillId="0" borderId="140" xfId="4" applyFont="1" applyBorder="1" applyAlignment="1">
      <alignment horizontal="left" vertical="top" wrapText="1"/>
    </xf>
    <xf numFmtId="166" fontId="34" fillId="3" borderId="140" xfId="0" applyNumberFormat="1" applyFont="1" applyFill="1" applyBorder="1"/>
    <xf numFmtId="0" fontId="25" fillId="3" borderId="140" xfId="4" applyFont="1" applyFill="1" applyBorder="1"/>
    <xf numFmtId="0" fontId="25" fillId="3" borderId="140" xfId="4" applyFont="1" applyFill="1" applyBorder="1" applyAlignment="1">
      <alignment horizontal="center"/>
    </xf>
    <xf numFmtId="0" fontId="25" fillId="3" borderId="140" xfId="4" applyFont="1" applyFill="1" applyBorder="1" applyAlignment="1">
      <alignment horizontal="left"/>
    </xf>
    <xf numFmtId="0" fontId="34" fillId="3" borderId="140" xfId="4" applyFont="1" applyFill="1" applyBorder="1" applyAlignment="1">
      <alignment horizontal="left"/>
    </xf>
    <xf numFmtId="0" fontId="46" fillId="0" borderId="140" xfId="4" applyFont="1" applyBorder="1"/>
    <xf numFmtId="0" fontId="46" fillId="0" borderId="140" xfId="4" applyFont="1" applyBorder="1" applyAlignment="1">
      <alignment horizontal="center"/>
    </xf>
    <xf numFmtId="0" fontId="38" fillId="0" borderId="140" xfId="4" applyFont="1" applyBorder="1"/>
    <xf numFmtId="0" fontId="25" fillId="0" borderId="140" xfId="4" applyFont="1" applyBorder="1" applyAlignment="1">
      <alignment horizontal="left" vertical="top" wrapText="1"/>
    </xf>
    <xf numFmtId="0" fontId="11" fillId="6" borderId="140" xfId="4" applyFont="1" applyFill="1" applyBorder="1"/>
    <xf numFmtId="0" fontId="25" fillId="6" borderId="140" xfId="4" applyFont="1" applyFill="1" applyBorder="1" applyAlignment="1">
      <alignment wrapText="1"/>
    </xf>
    <xf numFmtId="0" fontId="25" fillId="6" borderId="140" xfId="4" applyFont="1" applyFill="1" applyBorder="1" applyAlignment="1">
      <alignment horizontal="center"/>
    </xf>
    <xf numFmtId="0" fontId="25" fillId="6" borderId="140" xfId="4" applyFont="1" applyFill="1" applyBorder="1" applyAlignment="1">
      <alignment horizontal="left" vertical="top" wrapText="1"/>
    </xf>
    <xf numFmtId="166" fontId="25" fillId="6" borderId="140" xfId="4" applyNumberFormat="1" applyFont="1" applyFill="1" applyBorder="1"/>
    <xf numFmtId="0" fontId="34" fillId="0" borderId="140" xfId="4" applyFont="1" applyBorder="1" applyAlignment="1">
      <alignment wrapText="1"/>
    </xf>
    <xf numFmtId="166" fontId="34" fillId="0" borderId="140" xfId="4" applyNumberFormat="1" applyFont="1" applyBorder="1"/>
    <xf numFmtId="166" fontId="25" fillId="0" borderId="140" xfId="0" applyNumberFormat="1" applyFont="1" applyBorder="1" applyAlignment="1">
      <alignment horizontal="right" vertical="top" wrapText="1"/>
    </xf>
    <xf numFmtId="0" fontId="25" fillId="0" borderId="140" xfId="0" applyFont="1" applyBorder="1" applyAlignment="1">
      <alignment vertical="center" wrapText="1"/>
    </xf>
    <xf numFmtId="0" fontId="25" fillId="0" borderId="140" xfId="0" applyFont="1" applyBorder="1" applyAlignment="1">
      <alignment horizontal="center" vertical="center" wrapText="1"/>
    </xf>
    <xf numFmtId="0" fontId="25" fillId="0" borderId="140" xfId="0" applyFont="1" applyBorder="1" applyAlignment="1">
      <alignment wrapText="1"/>
    </xf>
    <xf numFmtId="0" fontId="34" fillId="0" borderId="140" xfId="0" applyFont="1" applyBorder="1" applyAlignment="1">
      <alignment wrapText="1"/>
    </xf>
    <xf numFmtId="0" fontId="34" fillId="0" borderId="140" xfId="0" applyFont="1" applyBorder="1" applyAlignment="1">
      <alignment horizontal="center" vertical="center" wrapText="1"/>
    </xf>
    <xf numFmtId="0" fontId="25" fillId="0" borderId="140" xfId="0" applyFont="1" applyBorder="1" applyAlignment="1">
      <alignment horizontal="center" vertical="top" wrapText="1"/>
    </xf>
    <xf numFmtId="0" fontId="34" fillId="0" borderId="140" xfId="0" applyFont="1" applyBorder="1" applyAlignment="1">
      <alignment horizontal="center" vertical="top" wrapText="1"/>
    </xf>
    <xf numFmtId="0" fontId="25" fillId="0" borderId="140" xfId="3055" applyFont="1" applyFill="1" applyBorder="1" applyAlignment="1">
      <alignment vertical="center" wrapText="1"/>
    </xf>
    <xf numFmtId="0" fontId="34" fillId="0" borderId="140" xfId="3055" applyFont="1" applyFill="1" applyBorder="1" applyAlignment="1">
      <alignment vertical="center" wrapText="1"/>
    </xf>
    <xf numFmtId="168" fontId="25" fillId="0" borderId="140" xfId="0" applyNumberFormat="1" applyFont="1" applyBorder="1" applyAlignment="1">
      <alignment horizontal="right" vertical="top" wrapText="1"/>
    </xf>
    <xf numFmtId="168" fontId="34" fillId="0" borderId="140" xfId="0" applyNumberFormat="1" applyFont="1" applyBorder="1" applyAlignment="1">
      <alignment horizontal="right" vertical="top" wrapText="1"/>
    </xf>
    <xf numFmtId="0" fontId="25" fillId="0" borderId="140" xfId="0" applyFont="1" applyBorder="1"/>
    <xf numFmtId="0" fontId="47" fillId="0" borderId="140" xfId="3055" applyFont="1" applyFill="1" applyBorder="1" applyAlignment="1">
      <alignment vertical="center" wrapText="1"/>
    </xf>
    <xf numFmtId="0" fontId="47" fillId="0" borderId="140" xfId="4" applyFont="1" applyBorder="1" applyAlignment="1">
      <alignment horizontal="center"/>
    </xf>
    <xf numFmtId="0" fontId="10" fillId="0" borderId="140" xfId="0" applyFont="1" applyBorder="1" applyAlignment="1">
      <alignment wrapText="1"/>
    </xf>
    <xf numFmtId="0" fontId="9" fillId="0" borderId="140" xfId="0" applyFont="1" applyBorder="1" applyAlignment="1">
      <alignment wrapText="1"/>
    </xf>
    <xf numFmtId="0" fontId="34" fillId="0" borderId="140" xfId="0" applyFont="1" applyBorder="1" applyAlignment="1">
      <alignment vertical="top" wrapText="1"/>
    </xf>
    <xf numFmtId="166" fontId="34" fillId="0" borderId="140" xfId="0" applyNumberFormat="1" applyFont="1" applyBorder="1"/>
    <xf numFmtId="9" fontId="10" fillId="0" borderId="140" xfId="10412" applyFont="1" applyBorder="1" applyAlignment="1">
      <alignment wrapText="1"/>
    </xf>
    <xf numFmtId="0" fontId="45" fillId="6" borderId="140" xfId="0" applyFont="1" applyFill="1" applyBorder="1" applyAlignment="1">
      <alignment vertical="center" wrapText="1"/>
    </xf>
    <xf numFmtId="0" fontId="45" fillId="6" borderId="140" xfId="0" applyFont="1" applyFill="1" applyBorder="1" applyAlignment="1">
      <alignment horizontal="center" vertical="center" wrapText="1"/>
    </xf>
    <xf numFmtId="167" fontId="25" fillId="6" borderId="140" xfId="4" applyNumberFormat="1" applyFont="1" applyFill="1" applyBorder="1"/>
    <xf numFmtId="168" fontId="25" fillId="0" borderId="140" xfId="4" applyNumberFormat="1" applyFont="1" applyBorder="1"/>
    <xf numFmtId="168" fontId="11" fillId="3" borderId="161" xfId="0" applyNumberFormat="1" applyFont="1" applyFill="1" applyBorder="1" applyAlignment="1">
      <alignment horizontal="left" vertical="top" wrapText="1"/>
    </xf>
    <xf numFmtId="0" fontId="11" fillId="3" borderId="165" xfId="0" applyFont="1" applyFill="1" applyBorder="1" applyAlignment="1">
      <alignment horizontal="left" vertical="top" wrapText="1"/>
    </xf>
    <xf numFmtId="168" fontId="11" fillId="3" borderId="161" xfId="0" applyNumberFormat="1" applyFont="1" applyFill="1" applyBorder="1" applyAlignment="1">
      <alignment horizontal="left" vertical="top"/>
    </xf>
    <xf numFmtId="168" fontId="11" fillId="3" borderId="0" xfId="10413" applyNumberFormat="1" applyFont="1" applyFill="1" applyAlignment="1">
      <alignment horizontal="left" vertical="top" wrapText="1"/>
    </xf>
    <xf numFmtId="0" fontId="11" fillId="3" borderId="115" xfId="10413" applyFont="1" applyFill="1" applyBorder="1" applyAlignment="1">
      <alignment horizontal="left" vertical="top" wrapText="1"/>
    </xf>
    <xf numFmtId="0" fontId="11" fillId="3" borderId="117" xfId="0" applyFont="1" applyFill="1" applyBorder="1" applyAlignment="1">
      <alignment horizontal="left" vertical="top" wrapText="1"/>
    </xf>
    <xf numFmtId="0" fontId="11" fillId="3" borderId="161" xfId="0" applyFont="1" applyFill="1" applyBorder="1" applyAlignment="1">
      <alignment horizontal="left" vertical="top" wrapText="1"/>
    </xf>
    <xf numFmtId="0" fontId="11" fillId="3" borderId="161" xfId="0" applyFont="1" applyFill="1" applyBorder="1" applyAlignment="1">
      <alignment horizontal="center" vertical="top" wrapText="1"/>
    </xf>
    <xf numFmtId="168" fontId="11" fillId="3" borderId="161" xfId="0" applyNumberFormat="1" applyFont="1" applyFill="1" applyBorder="1" applyAlignment="1">
      <alignment horizontal="center" vertical="top" wrapText="1"/>
    </xf>
    <xf numFmtId="0" fontId="11" fillId="3" borderId="161" xfId="0" applyFont="1" applyFill="1" applyBorder="1" applyAlignment="1">
      <alignment vertical="top" wrapText="1"/>
    </xf>
    <xf numFmtId="168" fontId="11" fillId="3" borderId="161" xfId="0" applyNumberFormat="1" applyFont="1" applyFill="1" applyBorder="1" applyAlignment="1">
      <alignment horizontal="center" vertical="top"/>
    </xf>
    <xf numFmtId="0" fontId="49" fillId="3" borderId="161" xfId="0" applyFont="1" applyFill="1" applyBorder="1" applyAlignment="1">
      <alignment vertical="top"/>
    </xf>
    <xf numFmtId="0" fontId="11" fillId="3" borderId="164" xfId="0" applyFont="1" applyFill="1" applyBorder="1" applyAlignment="1">
      <alignment horizontal="left" vertical="top" wrapText="1"/>
    </xf>
    <xf numFmtId="0" fontId="11" fillId="3" borderId="162" xfId="0" applyFont="1" applyFill="1" applyBorder="1" applyAlignment="1">
      <alignment horizontal="left" vertical="top"/>
    </xf>
    <xf numFmtId="0" fontId="11" fillId="3" borderId="161" xfId="0" applyFont="1" applyFill="1" applyBorder="1" applyAlignment="1">
      <alignment horizontal="left" vertical="top"/>
    </xf>
    <xf numFmtId="0" fontId="11" fillId="3" borderId="158" xfId="0" applyFont="1" applyFill="1" applyBorder="1" applyAlignment="1">
      <alignment vertical="top" wrapText="1"/>
    </xf>
    <xf numFmtId="0" fontId="11" fillId="3" borderId="150" xfId="10411" applyFont="1" applyFill="1" applyBorder="1" applyAlignment="1">
      <alignment horizontal="left" vertical="top" wrapText="1"/>
    </xf>
    <xf numFmtId="0" fontId="11" fillId="3" borderId="163" xfId="0" applyFont="1" applyFill="1" applyBorder="1" applyAlignment="1">
      <alignment horizontal="left" vertical="top"/>
    </xf>
    <xf numFmtId="0" fontId="11" fillId="3" borderId="144" xfId="10411" applyFont="1" applyFill="1" applyBorder="1" applyAlignment="1">
      <alignment horizontal="left" vertical="top"/>
    </xf>
    <xf numFmtId="0" fontId="50" fillId="3" borderId="144" xfId="10411" applyFont="1" applyFill="1" applyBorder="1" applyAlignment="1">
      <alignment horizontal="left" vertical="top" wrapText="1"/>
    </xf>
    <xf numFmtId="0" fontId="11" fillId="3" borderId="144" xfId="10411" applyFont="1" applyFill="1" applyBorder="1" applyAlignment="1">
      <alignment horizontal="left" vertical="top" wrapText="1"/>
    </xf>
    <xf numFmtId="0" fontId="34" fillId="3" borderId="163" xfId="0" applyFont="1" applyFill="1" applyBorder="1" applyAlignment="1">
      <alignment horizontal="left" vertical="top"/>
    </xf>
    <xf numFmtId="0" fontId="31" fillId="3" borderId="0" xfId="0" applyFont="1" applyFill="1" applyAlignment="1">
      <alignment horizontal="center" vertical="top" wrapText="1"/>
    </xf>
    <xf numFmtId="168" fontId="30" fillId="3" borderId="144" xfId="0" applyNumberFormat="1" applyFont="1" applyFill="1" applyBorder="1"/>
    <xf numFmtId="166" fontId="13" fillId="3" borderId="128" xfId="0" applyNumberFormat="1" applyFont="1" applyFill="1" applyBorder="1" applyAlignment="1">
      <alignment horizontal="right" vertical="top"/>
    </xf>
    <xf numFmtId="168" fontId="30" fillId="3" borderId="145" xfId="0" applyNumberFormat="1" applyFont="1" applyFill="1" applyBorder="1"/>
    <xf numFmtId="167" fontId="21" fillId="3" borderId="0" xfId="0" applyNumberFormat="1" applyFont="1" applyFill="1"/>
    <xf numFmtId="168" fontId="13" fillId="3" borderId="0" xfId="0" applyNumberFormat="1" applyFont="1" applyFill="1"/>
    <xf numFmtId="168" fontId="11" fillId="3" borderId="163" xfId="0" applyNumberFormat="1" applyFont="1" applyFill="1" applyBorder="1" applyAlignment="1">
      <alignment horizontal="left" vertical="top"/>
    </xf>
    <xf numFmtId="168" fontId="11" fillId="3" borderId="116" xfId="0" applyNumberFormat="1" applyFont="1" applyFill="1" applyBorder="1" applyAlignment="1">
      <alignment horizontal="left" vertical="top" wrapText="1"/>
    </xf>
    <xf numFmtId="168" fontId="11" fillId="3" borderId="166" xfId="0" applyNumberFormat="1" applyFont="1" applyFill="1" applyBorder="1" applyAlignment="1">
      <alignment horizontal="left" vertical="top" wrapText="1"/>
    </xf>
    <xf numFmtId="168" fontId="11" fillId="3" borderId="122" xfId="0" applyNumberFormat="1" applyFont="1" applyFill="1" applyBorder="1" applyAlignment="1">
      <alignment horizontal="left" vertical="top" wrapText="1"/>
    </xf>
    <xf numFmtId="0" fontId="11" fillId="3" borderId="160" xfId="0" applyFont="1" applyFill="1" applyBorder="1" applyAlignment="1">
      <alignment horizontal="left" vertical="top" wrapText="1"/>
    </xf>
    <xf numFmtId="168" fontId="11" fillId="3" borderId="167" xfId="0" applyNumberFormat="1" applyFont="1" applyFill="1" applyBorder="1" applyAlignment="1">
      <alignment horizontal="left" vertical="top" wrapText="1"/>
    </xf>
    <xf numFmtId="0" fontId="11" fillId="0" borderId="161" xfId="4" applyFont="1" applyBorder="1"/>
    <xf numFmtId="0" fontId="25" fillId="0" borderId="161" xfId="4" applyFont="1" applyBorder="1"/>
    <xf numFmtId="166" fontId="25" fillId="3" borderId="161" xfId="4" applyNumberFormat="1" applyFont="1" applyFill="1" applyBorder="1"/>
    <xf numFmtId="0" fontId="34" fillId="0" borderId="161" xfId="4" applyFont="1" applyBorder="1"/>
    <xf numFmtId="0" fontId="34" fillId="0" borderId="161" xfId="4" applyFont="1" applyBorder="1" applyAlignment="1">
      <alignment horizontal="center"/>
    </xf>
    <xf numFmtId="0" fontId="34" fillId="0" borderId="36" xfId="10414" applyFont="1" applyBorder="1"/>
    <xf numFmtId="0" fontId="25" fillId="0" borderId="35" xfId="10414" applyFont="1" applyBorder="1"/>
    <xf numFmtId="166" fontId="25" fillId="0" borderId="33" xfId="10414" applyNumberFormat="1" applyFont="1" applyBorder="1" applyAlignment="1">
      <alignment horizontal="right" vertical="center"/>
    </xf>
    <xf numFmtId="166" fontId="34" fillId="0" borderId="34" xfId="10414" applyNumberFormat="1" applyFont="1" applyBorder="1" applyAlignment="1">
      <alignment horizontal="right" vertical="center"/>
    </xf>
    <xf numFmtId="166" fontId="34" fillId="0" borderId="37" xfId="10414" applyNumberFormat="1" applyFont="1" applyBorder="1" applyAlignment="1">
      <alignment horizontal="right" vertical="center"/>
    </xf>
    <xf numFmtId="166" fontId="34" fillId="0" borderId="38" xfId="10414" applyNumberFormat="1" applyFont="1" applyBorder="1" applyAlignment="1">
      <alignment horizontal="right" vertical="center"/>
    </xf>
    <xf numFmtId="0" fontId="34" fillId="0" borderId="7" xfId="10414" applyFont="1" applyBorder="1"/>
    <xf numFmtId="0" fontId="25" fillId="0" borderId="2" xfId="10414" applyFont="1" applyBorder="1"/>
    <xf numFmtId="166" fontId="34" fillId="0" borderId="81" xfId="10414" applyNumberFormat="1" applyFont="1" applyBorder="1" applyAlignment="1">
      <alignment horizontal="right" vertical="center"/>
    </xf>
    <xf numFmtId="166" fontId="34" fillId="0" borderId="140" xfId="10414" applyNumberFormat="1" applyFont="1" applyBorder="1" applyAlignment="1">
      <alignment horizontal="right" vertical="center"/>
    </xf>
    <xf numFmtId="166" fontId="34" fillId="0" borderId="134" xfId="10414" applyNumberFormat="1" applyFont="1" applyBorder="1" applyAlignment="1">
      <alignment horizontal="right" vertical="center"/>
    </xf>
    <xf numFmtId="0" fontId="34" fillId="0" borderId="2" xfId="10414" applyFont="1" applyBorder="1"/>
    <xf numFmtId="166" fontId="34" fillId="0" borderId="33" xfId="10414" applyNumberFormat="1" applyFont="1" applyBorder="1" applyAlignment="1">
      <alignment horizontal="right" vertical="center"/>
    </xf>
    <xf numFmtId="168" fontId="34" fillId="0" borderId="81" xfId="10414" applyNumberFormat="1" applyFont="1" applyBorder="1" applyAlignment="1">
      <alignment horizontal="right" vertical="center"/>
    </xf>
    <xf numFmtId="168" fontId="34" fillId="0" borderId="140" xfId="10414" applyNumberFormat="1" applyFont="1" applyBorder="1" applyAlignment="1">
      <alignment horizontal="right" vertical="center"/>
    </xf>
    <xf numFmtId="0" fontId="25" fillId="0" borderId="2" xfId="10414" applyFont="1" applyBorder="1" applyAlignment="1">
      <alignment wrapText="1"/>
    </xf>
    <xf numFmtId="0" fontId="34" fillId="0" borderId="15" xfId="10414" applyFont="1" applyBorder="1"/>
    <xf numFmtId="0" fontId="25" fillId="0" borderId="157" xfId="10414" applyFont="1" applyBorder="1" applyAlignment="1">
      <alignment wrapText="1"/>
    </xf>
    <xf numFmtId="166" fontId="34" fillId="0" borderId="158" xfId="10414" applyNumberFormat="1" applyFont="1" applyBorder="1" applyAlignment="1">
      <alignment horizontal="right" vertical="center"/>
    </xf>
    <xf numFmtId="166" fontId="34" fillId="0" borderId="145" xfId="10414" applyNumberFormat="1" applyFont="1" applyBorder="1" applyAlignment="1">
      <alignment horizontal="right" vertical="center"/>
    </xf>
    <xf numFmtId="166" fontId="34" fillId="0" borderId="16" xfId="10414" applyNumberFormat="1" applyFont="1" applyBorder="1" applyAlignment="1">
      <alignment horizontal="right" vertical="center"/>
    </xf>
    <xf numFmtId="0" fontId="34" fillId="0" borderId="23" xfId="10414" applyFont="1" applyBorder="1"/>
    <xf numFmtId="0" fontId="25" fillId="0" borderId="27" xfId="10414" applyFont="1" applyBorder="1"/>
    <xf numFmtId="166" fontId="25" fillId="0" borderId="23" xfId="10414" applyNumberFormat="1" applyFont="1" applyBorder="1" applyAlignment="1">
      <alignment horizontal="right" vertical="center"/>
    </xf>
    <xf numFmtId="166" fontId="25" fillId="0" borderId="32" xfId="10414" applyNumberFormat="1" applyFont="1" applyBorder="1" applyAlignment="1">
      <alignment horizontal="right" vertical="center"/>
    </xf>
    <xf numFmtId="166" fontId="25" fillId="0" borderId="25" xfId="10414" applyNumberFormat="1" applyFont="1" applyBorder="1" applyAlignment="1">
      <alignment horizontal="right" vertical="center"/>
    </xf>
    <xf numFmtId="166" fontId="25" fillId="0" borderId="26" xfId="10414" applyNumberFormat="1" applyFont="1" applyBorder="1" applyAlignment="1">
      <alignment horizontal="right" vertical="center"/>
    </xf>
    <xf numFmtId="168" fontId="25" fillId="3" borderId="78" xfId="4" applyNumberFormat="1" applyFont="1" applyFill="1" applyBorder="1"/>
    <xf numFmtId="168" fontId="25" fillId="3" borderId="89" xfId="0" applyNumberFormat="1" applyFont="1" applyFill="1" applyBorder="1"/>
    <xf numFmtId="0" fontId="25" fillId="3" borderId="128" xfId="0" applyFont="1" applyFill="1" applyBorder="1" applyAlignment="1">
      <alignment wrapText="1"/>
    </xf>
    <xf numFmtId="0" fontId="25" fillId="3" borderId="133" xfId="0" applyFont="1" applyFill="1" applyBorder="1" applyAlignment="1">
      <alignment vertical="top" wrapText="1"/>
    </xf>
    <xf numFmtId="168" fontId="25" fillId="3" borderId="133" xfId="0" applyNumberFormat="1" applyFont="1" applyFill="1" applyBorder="1"/>
    <xf numFmtId="168" fontId="25" fillId="3" borderId="128" xfId="0" applyNumberFormat="1" applyFont="1" applyFill="1" applyBorder="1"/>
    <xf numFmtId="166" fontId="34" fillId="3" borderId="49" xfId="0" applyNumberFormat="1" applyFont="1" applyFill="1" applyBorder="1"/>
    <xf numFmtId="168" fontId="25" fillId="3" borderId="147" xfId="0" applyNumberFormat="1" applyFont="1" applyFill="1" applyBorder="1"/>
    <xf numFmtId="167" fontId="25" fillId="3" borderId="78" xfId="0" applyNumberFormat="1" applyFont="1" applyFill="1" applyBorder="1"/>
    <xf numFmtId="0" fontId="9" fillId="3" borderId="168" xfId="0" applyFont="1" applyFill="1" applyBorder="1" applyAlignment="1">
      <alignment vertical="center" wrapText="1"/>
    </xf>
    <xf numFmtId="0" fontId="9" fillId="3" borderId="168" xfId="3055" applyFont="1" applyFill="1" applyBorder="1" applyAlignment="1">
      <alignment vertical="center" wrapText="1"/>
    </xf>
    <xf numFmtId="0" fontId="9" fillId="3" borderId="168" xfId="0" applyFont="1" applyFill="1" applyBorder="1" applyAlignment="1">
      <alignment wrapText="1"/>
    </xf>
    <xf numFmtId="0" fontId="9" fillId="3" borderId="161" xfId="0" applyFont="1" applyFill="1" applyBorder="1" applyAlignment="1">
      <alignment vertical="center"/>
    </xf>
    <xf numFmtId="0" fontId="9" fillId="3" borderId="135" xfId="0" applyFont="1" applyFill="1" applyBorder="1" applyAlignment="1">
      <alignment vertical="center" wrapText="1"/>
    </xf>
    <xf numFmtId="0" fontId="10" fillId="3" borderId="24" xfId="0" applyFont="1" applyFill="1" applyBorder="1" applyAlignment="1">
      <alignment wrapText="1"/>
    </xf>
    <xf numFmtId="0" fontId="9" fillId="3" borderId="135" xfId="4" applyFont="1" applyFill="1" applyBorder="1"/>
    <xf numFmtId="0" fontId="9" fillId="3" borderId="163" xfId="0" applyFont="1" applyFill="1" applyBorder="1" applyAlignment="1">
      <alignment vertical="center"/>
    </xf>
    <xf numFmtId="0" fontId="10" fillId="3" borderId="24" xfId="0" applyFont="1" applyFill="1" applyBorder="1" applyAlignment="1">
      <alignment vertical="center" wrapText="1"/>
    </xf>
    <xf numFmtId="0" fontId="9" fillId="3" borderId="47" xfId="0" applyFont="1" applyFill="1" applyBorder="1" applyAlignment="1">
      <alignment vertical="center" wrapText="1"/>
    </xf>
    <xf numFmtId="9" fontId="9" fillId="3" borderId="168" xfId="10412" applyFont="1" applyFill="1" applyBorder="1" applyAlignment="1">
      <alignment wrapText="1"/>
    </xf>
    <xf numFmtId="0" fontId="9" fillId="3" borderId="22" xfId="0" applyFont="1" applyFill="1" applyBorder="1" applyAlignment="1">
      <alignment vertical="center"/>
    </xf>
    <xf numFmtId="0" fontId="9" fillId="3" borderId="19" xfId="0" applyFont="1" applyFill="1" applyBorder="1" applyAlignment="1">
      <alignment vertical="center"/>
    </xf>
    <xf numFmtId="0" fontId="9" fillId="3" borderId="169" xfId="0" applyFont="1" applyFill="1" applyBorder="1" applyAlignment="1">
      <alignment vertical="center"/>
    </xf>
    <xf numFmtId="0" fontId="9" fillId="3" borderId="125" xfId="0" applyFont="1" applyFill="1" applyBorder="1" applyAlignment="1">
      <alignment vertical="center"/>
    </xf>
    <xf numFmtId="0" fontId="9" fillId="3" borderId="25" xfId="0" applyFont="1" applyFill="1" applyBorder="1" applyAlignment="1">
      <alignment vertical="center"/>
    </xf>
    <xf numFmtId="0" fontId="9" fillId="3" borderId="43" xfId="0" applyFont="1" applyFill="1" applyBorder="1" applyAlignment="1">
      <alignment vertical="center"/>
    </xf>
    <xf numFmtId="0" fontId="0" fillId="0" borderId="0" xfId="0" applyAlignment="1">
      <alignment horizontal="left"/>
    </xf>
    <xf numFmtId="0" fontId="9" fillId="0" borderId="0" xfId="0" applyFont="1" applyAlignment="1">
      <alignment horizontal="left"/>
    </xf>
    <xf numFmtId="0" fontId="9" fillId="3" borderId="0" xfId="0" applyFont="1" applyFill="1" applyAlignment="1">
      <alignment horizontal="left"/>
    </xf>
    <xf numFmtId="0" fontId="11" fillId="3" borderId="0" xfId="0" applyFont="1" applyFill="1" applyAlignment="1">
      <alignment horizontal="center"/>
    </xf>
    <xf numFmtId="168" fontId="25" fillId="0" borderId="33" xfId="10414" applyNumberFormat="1" applyFont="1" applyBorder="1" applyAlignment="1">
      <alignment horizontal="right" vertical="center"/>
    </xf>
    <xf numFmtId="168" fontId="34" fillId="3" borderId="147" xfId="0" applyNumberFormat="1" applyFont="1" applyFill="1" applyBorder="1"/>
    <xf numFmtId="168" fontId="25" fillId="0" borderId="132" xfId="4" applyNumberFormat="1" applyFont="1" applyBorder="1"/>
    <xf numFmtId="168" fontId="25" fillId="0" borderId="128" xfId="0" applyNumberFormat="1" applyFont="1" applyBorder="1"/>
    <xf numFmtId="168" fontId="25" fillId="0" borderId="141" xfId="0" applyNumberFormat="1" applyFont="1" applyBorder="1"/>
    <xf numFmtId="168" fontId="25" fillId="3" borderId="140" xfId="4" applyNumberFormat="1" applyFont="1" applyFill="1" applyBorder="1"/>
    <xf numFmtId="168" fontId="34" fillId="3" borderId="140" xfId="4" applyNumberFormat="1" applyFont="1" applyFill="1" applyBorder="1"/>
    <xf numFmtId="0" fontId="34" fillId="0" borderId="161" xfId="4" applyFont="1" applyBorder="1" applyAlignment="1">
      <alignment horizontal="left" vertical="top" wrapText="1"/>
    </xf>
    <xf numFmtId="168" fontId="34" fillId="3" borderId="161" xfId="4" applyNumberFormat="1" applyFont="1" applyFill="1" applyBorder="1"/>
    <xf numFmtId="0" fontId="34" fillId="0" borderId="0" xfId="4" applyFont="1"/>
    <xf numFmtId="16" fontId="34" fillId="0" borderId="0" xfId="4" applyNumberFormat="1" applyFont="1"/>
    <xf numFmtId="0" fontId="9" fillId="0" borderId="0" xfId="0" applyFont="1" applyAlignment="1">
      <alignment horizontal="center"/>
    </xf>
    <xf numFmtId="0" fontId="40" fillId="0" borderId="0" xfId="0" applyFont="1" applyAlignment="1">
      <alignment horizontal="center"/>
    </xf>
    <xf numFmtId="0" fontId="0" fillId="0" borderId="0" xfId="0" applyAlignment="1">
      <alignment horizontal="center"/>
    </xf>
    <xf numFmtId="0" fontId="9" fillId="3" borderId="40" xfId="0" applyFont="1" applyFill="1" applyBorder="1" applyAlignment="1">
      <alignment vertical="top" wrapText="1"/>
    </xf>
    <xf numFmtId="0" fontId="9" fillId="3" borderId="79" xfId="0" applyFont="1" applyFill="1" applyBorder="1"/>
    <xf numFmtId="0" fontId="9" fillId="3" borderId="33" xfId="0" applyFont="1" applyFill="1" applyBorder="1" applyAlignment="1">
      <alignment vertical="top" wrapText="1"/>
    </xf>
    <xf numFmtId="0" fontId="9" fillId="3" borderId="78" xfId="0" applyFont="1" applyFill="1" applyBorder="1"/>
    <xf numFmtId="0" fontId="10" fillId="0" borderId="0" xfId="0" applyFont="1"/>
    <xf numFmtId="0" fontId="9" fillId="0" borderId="0" xfId="0" applyFont="1" applyAlignment="1">
      <alignment horizontal="left"/>
    </xf>
    <xf numFmtId="0" fontId="0" fillId="0" borderId="0" xfId="0" applyAlignment="1">
      <alignment horizontal="left"/>
    </xf>
    <xf numFmtId="0" fontId="40" fillId="0" borderId="0" xfId="0" applyFont="1" applyAlignment="1">
      <alignment horizontal="left"/>
    </xf>
    <xf numFmtId="0" fontId="34" fillId="0" borderId="0" xfId="0" applyFont="1" applyAlignment="1">
      <alignment horizontal="left"/>
    </xf>
    <xf numFmtId="0" fontId="14" fillId="0" borderId="0" xfId="0" applyFont="1" applyAlignment="1">
      <alignment horizontal="center"/>
    </xf>
    <xf numFmtId="0" fontId="13" fillId="0" borderId="71" xfId="9" applyBorder="1" applyAlignment="1">
      <alignment horizontal="center" vertical="center" wrapText="1"/>
    </xf>
    <xf numFmtId="0" fontId="13" fillId="0" borderId="62" xfId="9" applyBorder="1" applyAlignment="1">
      <alignment horizontal="center" vertical="center" wrapText="1"/>
    </xf>
    <xf numFmtId="0" fontId="13" fillId="0" borderId="60" xfId="9" applyBorder="1" applyAlignment="1">
      <alignment horizontal="center" vertical="center" wrapText="1"/>
    </xf>
    <xf numFmtId="0" fontId="14" fillId="0" borderId="73" xfId="9" applyFont="1" applyBorder="1" applyAlignment="1">
      <alignment horizontal="center" vertical="center" wrapText="1"/>
    </xf>
    <xf numFmtId="0" fontId="14" fillId="0" borderId="74" xfId="9" applyFont="1" applyBorder="1" applyAlignment="1">
      <alignment horizontal="center" vertical="center" wrapText="1"/>
    </xf>
    <xf numFmtId="0" fontId="14" fillId="0" borderId="75" xfId="9" applyFont="1" applyBorder="1" applyAlignment="1">
      <alignment horizontal="center" vertical="center" wrapText="1"/>
    </xf>
    <xf numFmtId="0" fontId="13" fillId="0" borderId="69" xfId="9" applyBorder="1" applyAlignment="1">
      <alignment horizontal="center" vertical="center" wrapText="1"/>
    </xf>
    <xf numFmtId="0" fontId="13" fillId="0" borderId="70" xfId="9" applyBorder="1" applyAlignment="1">
      <alignment horizontal="center" vertical="center" wrapText="1"/>
    </xf>
    <xf numFmtId="0" fontId="13" fillId="0" borderId="61" xfId="9" applyBorder="1" applyAlignment="1">
      <alignment horizontal="center" vertical="center" wrapText="1"/>
    </xf>
    <xf numFmtId="0" fontId="13" fillId="0" borderId="72" xfId="9" applyBorder="1" applyAlignment="1">
      <alignment horizontal="center" vertical="center" wrapText="1"/>
    </xf>
    <xf numFmtId="0" fontId="13" fillId="0" borderId="59" xfId="9" applyBorder="1" applyAlignment="1">
      <alignment horizontal="center" vertical="center" wrapText="1"/>
    </xf>
    <xf numFmtId="0" fontId="0" fillId="0" borderId="42" xfId="0" applyBorder="1"/>
    <xf numFmtId="0" fontId="0" fillId="0" borderId="57" xfId="0" applyBorder="1"/>
    <xf numFmtId="0" fontId="13" fillId="0" borderId="64" xfId="9" applyBorder="1" applyAlignment="1">
      <alignment horizontal="center" vertical="center" wrapText="1"/>
    </xf>
    <xf numFmtId="0" fontId="13" fillId="0" borderId="65" xfId="9" applyBorder="1" applyAlignment="1">
      <alignment horizontal="center" vertical="center" wrapText="1"/>
    </xf>
    <xf numFmtId="0" fontId="13" fillId="0" borderId="66" xfId="9" applyBorder="1" applyAlignment="1">
      <alignment horizontal="center" vertical="center" wrapText="1"/>
    </xf>
    <xf numFmtId="0" fontId="14" fillId="0" borderId="67" xfId="9" applyFont="1" applyBorder="1" applyAlignment="1">
      <alignment horizontal="center" vertical="center" wrapText="1"/>
    </xf>
    <xf numFmtId="0" fontId="14" fillId="0" borderId="63" xfId="9" applyFont="1" applyBorder="1" applyAlignment="1">
      <alignment horizontal="center" vertical="center" wrapText="1"/>
    </xf>
    <xf numFmtId="0" fontId="14" fillId="0" borderId="68" xfId="9" applyFont="1" applyBorder="1" applyAlignment="1">
      <alignment horizontal="center" vertical="center" wrapText="1"/>
    </xf>
    <xf numFmtId="0" fontId="13" fillId="0" borderId="152" xfId="10414" applyBorder="1" applyAlignment="1">
      <alignment vertical="center" wrapText="1"/>
    </xf>
    <xf numFmtId="0" fontId="13" fillId="0" borderId="154" xfId="10414" applyBorder="1" applyAlignment="1">
      <alignment vertical="center" wrapText="1"/>
    </xf>
    <xf numFmtId="0" fontId="13" fillId="0" borderId="155" xfId="10414" applyBorder="1" applyAlignment="1">
      <alignment vertical="center" wrapText="1"/>
    </xf>
    <xf numFmtId="0" fontId="13" fillId="0" borderId="153" xfId="10414" applyBorder="1" applyAlignment="1">
      <alignment horizontal="center" vertical="center"/>
    </xf>
    <xf numFmtId="0" fontId="13" fillId="0" borderId="93" xfId="10414" applyBorder="1" applyAlignment="1">
      <alignment horizontal="center" vertical="center"/>
    </xf>
    <xf numFmtId="0" fontId="13" fillId="0" borderId="156" xfId="10414" applyBorder="1" applyAlignment="1">
      <alignment horizontal="center" vertical="center"/>
    </xf>
    <xf numFmtId="0" fontId="13" fillId="0" borderId="49" xfId="10414" applyBorder="1" applyAlignment="1">
      <alignment horizontal="center" vertical="center" wrapText="1"/>
    </xf>
    <xf numFmtId="0" fontId="13" fillId="0" borderId="55" xfId="10414" applyBorder="1" applyAlignment="1">
      <alignment horizontal="center" vertical="center" wrapText="1"/>
    </xf>
    <xf numFmtId="0" fontId="13" fillId="0" borderId="142" xfId="10414" applyBorder="1" applyAlignment="1">
      <alignment horizontal="center"/>
    </xf>
    <xf numFmtId="0" fontId="13" fillId="0" borderId="135" xfId="10414" applyBorder="1" applyAlignment="1">
      <alignment horizontal="center"/>
    </xf>
    <xf numFmtId="0" fontId="11" fillId="0" borderId="51" xfId="0" applyFont="1" applyBorder="1" applyAlignment="1">
      <alignment horizontal="center" vertical="top" wrapText="1"/>
    </xf>
    <xf numFmtId="0" fontId="11" fillId="0" borderId="18" xfId="0" applyFont="1" applyBorder="1" applyAlignment="1">
      <alignment horizontal="center" vertical="top" wrapText="1"/>
    </xf>
    <xf numFmtId="0" fontId="11" fillId="0" borderId="22" xfId="0" applyFont="1" applyBorder="1" applyAlignment="1">
      <alignment horizontal="center" vertical="top" wrapText="1"/>
    </xf>
    <xf numFmtId="0" fontId="11" fillId="0" borderId="55" xfId="0" applyFont="1" applyBorder="1" applyAlignment="1">
      <alignment horizontal="center" vertical="top" wrapText="1"/>
    </xf>
    <xf numFmtId="0" fontId="11" fillId="0" borderId="42" xfId="0" applyFont="1" applyBorder="1" applyAlignment="1">
      <alignment horizontal="center" vertical="top" wrapText="1"/>
    </xf>
    <xf numFmtId="0" fontId="11" fillId="0" borderId="77" xfId="0" applyFont="1" applyBorder="1" applyAlignment="1">
      <alignment horizontal="center" vertical="top" wrapText="1"/>
    </xf>
    <xf numFmtId="0" fontId="31" fillId="0" borderId="22" xfId="0" applyFont="1" applyBorder="1" applyAlignment="1">
      <alignment horizontal="center" vertical="top" wrapText="1"/>
    </xf>
    <xf numFmtId="0" fontId="31" fillId="0" borderId="55" xfId="0" applyFont="1" applyBorder="1" applyAlignment="1">
      <alignment horizontal="center" vertical="top" wrapText="1"/>
    </xf>
    <xf numFmtId="0" fontId="11" fillId="0" borderId="22" xfId="9" applyFont="1" applyBorder="1" applyAlignment="1">
      <alignment horizontal="center" vertical="top" wrapText="1"/>
    </xf>
    <xf numFmtId="0" fontId="11" fillId="0" borderId="55" xfId="9" applyFont="1" applyBorder="1" applyAlignment="1">
      <alignment horizontal="center" vertical="top" wrapText="1"/>
    </xf>
    <xf numFmtId="0" fontId="10" fillId="0" borderId="0" xfId="0" applyFont="1" applyAlignment="1">
      <alignment horizontal="center" vertical="center"/>
    </xf>
    <xf numFmtId="0" fontId="9" fillId="0" borderId="0" xfId="0" applyFont="1" applyAlignment="1">
      <alignment horizontal="center" vertical="center"/>
    </xf>
    <xf numFmtId="0" fontId="31" fillId="0" borderId="0" xfId="0" applyFont="1" applyAlignment="1">
      <alignment horizontal="center"/>
    </xf>
    <xf numFmtId="0" fontId="11" fillId="0" borderId="110" xfId="0" applyFont="1" applyBorder="1" applyAlignment="1">
      <alignment horizontal="center" vertical="top" wrapText="1"/>
    </xf>
    <xf numFmtId="0" fontId="11" fillId="0" borderId="96" xfId="0" applyFont="1" applyBorder="1" applyAlignment="1">
      <alignment horizontal="center" vertical="top" wrapText="1"/>
    </xf>
    <xf numFmtId="0" fontId="11" fillId="3" borderId="22" xfId="0" applyFont="1" applyFill="1" applyBorder="1" applyAlignment="1">
      <alignment vertical="center" wrapText="1"/>
    </xf>
    <xf numFmtId="0" fontId="11" fillId="3" borderId="55" xfId="0" applyFont="1" applyFill="1" applyBorder="1" applyAlignment="1">
      <alignment vertical="center" wrapText="1"/>
    </xf>
    <xf numFmtId="0" fontId="11" fillId="0" borderId="22"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0" xfId="0" applyFont="1" applyAlignment="1">
      <alignment horizontal="left"/>
    </xf>
    <xf numFmtId="0" fontId="11" fillId="0" borderId="78" xfId="0" applyFont="1" applyBorder="1" applyAlignment="1">
      <alignment horizontal="center" vertical="top" wrapText="1"/>
    </xf>
    <xf numFmtId="0" fontId="11" fillId="0" borderId="106" xfId="0" applyFont="1" applyBorder="1" applyAlignment="1">
      <alignment horizontal="center" vertical="top" wrapText="1"/>
    </xf>
    <xf numFmtId="0" fontId="11" fillId="0" borderId="107" xfId="0" applyFont="1" applyBorder="1" applyAlignment="1">
      <alignment horizontal="center" vertical="top" wrapText="1"/>
    </xf>
    <xf numFmtId="0" fontId="34" fillId="0" borderId="0" xfId="4" applyFont="1"/>
    <xf numFmtId="0" fontId="34" fillId="0" borderId="0" xfId="0" applyFont="1"/>
    <xf numFmtId="0" fontId="11" fillId="0" borderId="140" xfId="4" applyFont="1" applyBorder="1" applyAlignment="1">
      <alignment horizontal="center" vertical="top" wrapText="1"/>
    </xf>
    <xf numFmtId="0" fontId="11" fillId="0" borderId="140" xfId="4" applyFont="1" applyBorder="1" applyAlignment="1">
      <alignment horizontal="center" vertical="top"/>
    </xf>
    <xf numFmtId="0" fontId="13" fillId="0" borderId="0" xfId="10409"/>
    <xf numFmtId="0" fontId="0" fillId="0" borderId="0" xfId="0"/>
    <xf numFmtId="0" fontId="25" fillId="0" borderId="0" xfId="10409" applyFont="1" applyAlignment="1">
      <alignment horizontal="center" vertical="center" wrapText="1"/>
    </xf>
    <xf numFmtId="0" fontId="21" fillId="0" borderId="0" xfId="10409" applyFont="1" applyAlignment="1">
      <alignment horizontal="center" vertical="center" wrapText="1"/>
    </xf>
    <xf numFmtId="0" fontId="30" fillId="0" borderId="0" xfId="10409" applyFont="1" applyAlignment="1">
      <alignment horizontal="center" vertical="center" wrapText="1"/>
    </xf>
    <xf numFmtId="0" fontId="31" fillId="3" borderId="115" xfId="0" applyFont="1" applyFill="1" applyBorder="1" applyAlignment="1">
      <alignment horizontal="center" vertical="top" wrapText="1"/>
    </xf>
    <xf numFmtId="0" fontId="31" fillId="3" borderId="117" xfId="0" applyFont="1" applyFill="1" applyBorder="1" applyAlignment="1">
      <alignment horizontal="center" vertical="top" wrapText="1"/>
    </xf>
    <xf numFmtId="0" fontId="31" fillId="3" borderId="116" xfId="0" applyFont="1" applyFill="1" applyBorder="1" applyAlignment="1">
      <alignment horizontal="center" vertical="top" wrapText="1"/>
    </xf>
    <xf numFmtId="0" fontId="31" fillId="3" borderId="118" xfId="0" applyFont="1" applyFill="1" applyBorder="1" applyAlignment="1">
      <alignment horizontal="center" vertical="top"/>
    </xf>
    <xf numFmtId="0" fontId="31" fillId="3" borderId="114" xfId="0" applyFont="1" applyFill="1" applyBorder="1" applyAlignment="1">
      <alignment horizontal="center" vertical="top"/>
    </xf>
    <xf numFmtId="0" fontId="31" fillId="3" borderId="119" xfId="0" applyFont="1" applyFill="1" applyBorder="1" applyAlignment="1">
      <alignment horizontal="center" vertical="top"/>
    </xf>
    <xf numFmtId="0" fontId="31" fillId="3" borderId="120" xfId="0" applyFont="1" applyFill="1" applyBorder="1" applyAlignment="1">
      <alignment horizontal="center" vertical="top"/>
    </xf>
    <xf numFmtId="0" fontId="31" fillId="3" borderId="121" xfId="0" applyFont="1" applyFill="1" applyBorder="1" applyAlignment="1">
      <alignment horizontal="center" vertical="top"/>
    </xf>
    <xf numFmtId="0" fontId="31" fillId="3" borderId="112" xfId="0" applyFont="1" applyFill="1" applyBorder="1" applyAlignment="1">
      <alignment horizontal="center" vertical="top"/>
    </xf>
    <xf numFmtId="0" fontId="31" fillId="3" borderId="115" xfId="0" applyFont="1" applyFill="1" applyBorder="1" applyAlignment="1">
      <alignment horizontal="center" vertical="top"/>
    </xf>
    <xf numFmtId="0" fontId="31" fillId="3" borderId="117" xfId="0" applyFont="1" applyFill="1" applyBorder="1" applyAlignment="1">
      <alignment horizontal="center" vertical="top"/>
    </xf>
    <xf numFmtId="0" fontId="31" fillId="3" borderId="116" xfId="0" applyFont="1" applyFill="1" applyBorder="1" applyAlignment="1">
      <alignment horizontal="center" vertical="top"/>
    </xf>
  </cellXfs>
  <cellStyles count="10415">
    <cellStyle name="Excel Built-in Normal" xfId="1" xr:uid="{00000000-0005-0000-0000-000000000000}"/>
    <cellStyle name="Įprastas" xfId="0" builtinId="0"/>
    <cellStyle name="Įprastas 10" xfId="10413" xr:uid="{D762CC5B-0D76-4BA8-A230-799E52D93458}"/>
    <cellStyle name="Įprastas 2" xfId="2" xr:uid="{00000000-0005-0000-0000-000002000000}"/>
    <cellStyle name="Įprastas 2 2" xfId="3" xr:uid="{00000000-0005-0000-0000-000003000000}"/>
    <cellStyle name="Įprastas 2_8 priedas" xfId="8240" xr:uid="{B2805EBD-1377-4E35-A3E9-7D6B6CB44874}"/>
    <cellStyle name="Įprastas 3" xfId="4" xr:uid="{00000000-0005-0000-0000-000004000000}"/>
    <cellStyle name="Įprastas 4" xfId="5" xr:uid="{00000000-0005-0000-0000-000005000000}"/>
    <cellStyle name="Įprastas 4 2" xfId="6" xr:uid="{00000000-0005-0000-0000-000006000000}"/>
    <cellStyle name="Įprastas 4 3" xfId="10" xr:uid="{00000000-0005-0000-0000-000007000000}"/>
    <cellStyle name="Įprastas 4 3 2" xfId="11" xr:uid="{00000000-0005-0000-0000-000008000000}"/>
    <cellStyle name="Įprastas 4 3_8 -ES projektai" xfId="12" xr:uid="{00000000-0005-0000-0000-000009000000}"/>
    <cellStyle name="Įprastas 4_5-prpgramos" xfId="7" xr:uid="{00000000-0005-0000-0000-00000A000000}"/>
    <cellStyle name="Įprastas 5" xfId="8" xr:uid="{00000000-0005-0000-0000-00000B000000}"/>
    <cellStyle name="Įprastas 5 10" xfId="34" xr:uid="{00000000-0005-0000-0000-00000C000000}"/>
    <cellStyle name="Įprastas 5 10 2" xfId="619" xr:uid="{00000000-0005-0000-0000-00000D000000}"/>
    <cellStyle name="Įprastas 5 10 2 2" xfId="1327" xr:uid="{58268D8F-03F8-40A2-8414-0EE33499D2D8}"/>
    <cellStyle name="Įprastas 5 10 2 2 2" xfId="6224" xr:uid="{591D95FD-9A7F-4E8B-A987-4DAC9059CC65}"/>
    <cellStyle name="Įprastas 5 10 2 2 3" xfId="7952" xr:uid="{A7FEA03E-578A-4276-A4B8-B810F3AF2539}"/>
    <cellStyle name="Įprastas 5 10 2 2 4" xfId="4496" xr:uid="{B02AE61A-441E-4034-BB32-6E8AEF939291}"/>
    <cellStyle name="Įprastas 5 10 2 2_8 priedas" xfId="8242" xr:uid="{71930371-9864-402C-B114-A6D6273ADBB8}"/>
    <cellStyle name="Įprastas 5 10 2 3" xfId="2767" xr:uid="{0432C206-DD19-4067-919F-8865459471AB}"/>
    <cellStyle name="Įprastas 5 10 2 3 2" xfId="5360" xr:uid="{8BB41314-E13F-447B-8B1E-95AF1DBFED90}"/>
    <cellStyle name="Įprastas 5 10 2 3_8 priedas" xfId="8243" xr:uid="{813D16E8-3E42-46BB-AA4F-55A49B9C059E}"/>
    <cellStyle name="Įprastas 5 10 2 4" xfId="7088" xr:uid="{127DA7FF-2259-479D-8E55-58EB7E8E16C9}"/>
    <cellStyle name="Įprastas 5 10 2 5" xfId="3632" xr:uid="{D3D9967D-2507-49D6-A7EC-BE52680945E3}"/>
    <cellStyle name="Įprastas 5 10 2_8 priedas" xfId="8241" xr:uid="{58A8C484-80AB-4465-9983-3C0704CF7670}"/>
    <cellStyle name="Įprastas 5 10 3" xfId="1328" xr:uid="{8713E263-9DFD-4A87-B8F1-1AD79F0D5FD5}"/>
    <cellStyle name="Įprastas 5 10 3 2" xfId="5660" xr:uid="{6464D974-EF7D-4973-8A28-B9445574C1AC}"/>
    <cellStyle name="Įprastas 5 10 3 3" xfId="7388" xr:uid="{FE88F9F8-061A-4DDE-A738-1AF2420EE87C}"/>
    <cellStyle name="Įprastas 5 10 3 4" xfId="3932" xr:uid="{19A215C6-7847-4215-9077-AFDD7995E2F9}"/>
    <cellStyle name="Įprastas 5 10 3_8 priedas" xfId="8244" xr:uid="{9378B876-6952-4D10-92A1-B138AD46C2D7}"/>
    <cellStyle name="Įprastas 5 10 4" xfId="2203" xr:uid="{601EB838-4592-4886-8C00-BDC66FD45441}"/>
    <cellStyle name="Įprastas 5 10 4 2" xfId="4796" xr:uid="{085FDC82-9CF2-44AC-8475-5727F413638C}"/>
    <cellStyle name="Įprastas 5 10 4_8 priedas" xfId="8245" xr:uid="{F616274C-329D-4AC6-818A-A6E6CA2841E9}"/>
    <cellStyle name="Įprastas 5 10 5" xfId="6524" xr:uid="{94D3E428-4EBD-4C93-970D-A583ACEB1C79}"/>
    <cellStyle name="Įprastas 5 10 6" xfId="3068" xr:uid="{481FF6FB-3C92-4ED5-8DDA-DFCB620DD5C9}"/>
    <cellStyle name="Įprastas 5 10_8 priedas" xfId="1060" xr:uid="{00000000-0005-0000-0000-00000E000000}"/>
    <cellStyle name="Įprastas 5 11" xfId="35" xr:uid="{00000000-0005-0000-0000-00000F000000}"/>
    <cellStyle name="Įprastas 5 11 2" xfId="763" xr:uid="{00000000-0005-0000-0000-000010000000}"/>
    <cellStyle name="Įprastas 5 11 2 2" xfId="1329" xr:uid="{C9A3052D-BF42-4642-BD9A-50591150D8E4}"/>
    <cellStyle name="Įprastas 5 11 2 2 2" xfId="6368" xr:uid="{3284ECF2-A8FA-442F-A473-86F0F06E9236}"/>
    <cellStyle name="Įprastas 5 11 2 2 3" xfId="8096" xr:uid="{F7113B26-A08F-4189-ACCC-15D0B9A9443B}"/>
    <cellStyle name="Įprastas 5 11 2 2 4" xfId="4640" xr:uid="{C286C38F-F97B-4F49-BD29-7616F5C875C1}"/>
    <cellStyle name="Įprastas 5 11 2 2_8 priedas" xfId="8247" xr:uid="{3823BA29-EDCA-4EE3-8EE6-6C7C6C56C323}"/>
    <cellStyle name="Įprastas 5 11 2 3" xfId="2911" xr:uid="{3CE5A795-E9BB-4BE0-85E4-5D2B1D5E8CEF}"/>
    <cellStyle name="Įprastas 5 11 2 3 2" xfId="5504" xr:uid="{D8181A7A-9E9F-47BD-B8FB-A26B3BB37ACB}"/>
    <cellStyle name="Įprastas 5 11 2 3_8 priedas" xfId="8248" xr:uid="{E509A276-8298-409D-803F-34D41BFAB7B8}"/>
    <cellStyle name="Įprastas 5 11 2 4" xfId="7232" xr:uid="{AB1284AA-C1A1-4EAA-AC73-C42CAC2FC7DF}"/>
    <cellStyle name="Įprastas 5 11 2 5" xfId="3776" xr:uid="{116DD1F4-43F6-4D79-8E0A-793AC97BAAD7}"/>
    <cellStyle name="Įprastas 5 11 2_8 priedas" xfId="8246" xr:uid="{9B509C81-AEBF-4D9E-AD1D-4C485AE93847}"/>
    <cellStyle name="Įprastas 5 11 3" xfId="1330" xr:uid="{4E7AFC8A-07EC-4C5E-A3EC-573074E0A44F}"/>
    <cellStyle name="Įprastas 5 11 3 2" xfId="5661" xr:uid="{1CA0D3FA-1D9F-419F-BBA3-5E2EB6471CEB}"/>
    <cellStyle name="Įprastas 5 11 3 3" xfId="7389" xr:uid="{446AE9BB-34F2-4AD1-8014-6AC395FBB32F}"/>
    <cellStyle name="Įprastas 5 11 3 4" xfId="3933" xr:uid="{59D14B85-DFA8-416A-87E5-D6F4C5C87870}"/>
    <cellStyle name="Įprastas 5 11 3_8 priedas" xfId="8249" xr:uid="{A5DB667E-868A-45CF-BB87-AD2681058213}"/>
    <cellStyle name="Įprastas 5 11 4" xfId="2204" xr:uid="{D970DDA2-23C2-4E72-9F13-563F8341A705}"/>
    <cellStyle name="Įprastas 5 11 4 2" xfId="4797" xr:uid="{AF2C494F-5760-4671-8A5B-A622E0F2C771}"/>
    <cellStyle name="Įprastas 5 11 4_8 priedas" xfId="8250" xr:uid="{DCEDB1AD-40FF-4121-88D7-CB1D83172747}"/>
    <cellStyle name="Įprastas 5 11 5" xfId="6525" xr:uid="{E3F42DB7-D955-4E97-8528-44B10C4ABC12}"/>
    <cellStyle name="Įprastas 5 11 6" xfId="3069" xr:uid="{72086268-5EC3-46CE-B5E6-871015A54058}"/>
    <cellStyle name="Įprastas 5 11_8 priedas" xfId="1285" xr:uid="{00000000-0005-0000-0000-000011000000}"/>
    <cellStyle name="Įprastas 5 12" xfId="475" xr:uid="{00000000-0005-0000-0000-000012000000}"/>
    <cellStyle name="Įprastas 5 12 2" xfId="1331" xr:uid="{7FEDA5A0-5EDD-4CDD-B733-B9045BD4818D}"/>
    <cellStyle name="Įprastas 5 12 2 2" xfId="6080" xr:uid="{F91EDCAD-F7CA-4B5F-816A-21A70007E01A}"/>
    <cellStyle name="Įprastas 5 12 2 3" xfId="7808" xr:uid="{1AF6E313-AB21-43BA-BC3D-E8CFEBBF83F4}"/>
    <cellStyle name="Įprastas 5 12 2 4" xfId="4352" xr:uid="{A065FB0E-F7EB-43CA-A2F4-50E4BD21EDB2}"/>
    <cellStyle name="Įprastas 5 12 2_8 priedas" xfId="8252" xr:uid="{8BF22C54-4DB6-4CC6-9002-9AB9577838B1}"/>
    <cellStyle name="Įprastas 5 12 3" xfId="2623" xr:uid="{589EF335-2691-4C54-93A4-1F346EB6A956}"/>
    <cellStyle name="Įprastas 5 12 3 2" xfId="5216" xr:uid="{8F59FEC2-81D6-4EC7-ACA9-3B572DFD149F}"/>
    <cellStyle name="Įprastas 5 12 3_8 priedas" xfId="8253" xr:uid="{0AE0C815-D97E-4F6F-86B5-FA13C79C3650}"/>
    <cellStyle name="Įprastas 5 12 4" xfId="6944" xr:uid="{5CD3C5BA-47B8-4E8C-AF47-288C7DC26ABA}"/>
    <cellStyle name="Įprastas 5 12 5" xfId="3488" xr:uid="{C5123D19-9831-49E0-8603-BAB4203B4DE8}"/>
    <cellStyle name="Įprastas 5 12_8 priedas" xfId="8251" xr:uid="{6AB01924-78A1-4D4C-8760-95FF71FB24A1}"/>
    <cellStyle name="Įprastas 5 13" xfId="1332" xr:uid="{B2555F45-909E-4C0B-AD9E-84A037CF61F8}"/>
    <cellStyle name="Įprastas 5 13 2" xfId="5648" xr:uid="{D64C7225-70AF-45B9-BF86-4B52EE56DB8D}"/>
    <cellStyle name="Įprastas 5 13 3" xfId="7376" xr:uid="{75BF16F7-A120-4652-A15A-5D874FEE1A3C}"/>
    <cellStyle name="Įprastas 5 13 4" xfId="3920" xr:uid="{333B53CC-3F77-4DA4-ADD6-6B8546EA5BEB}"/>
    <cellStyle name="Įprastas 5 13_8 priedas" xfId="8254" xr:uid="{78753F32-1233-4029-B866-A22042B0CF30}"/>
    <cellStyle name="Įprastas 5 14" xfId="2191" xr:uid="{AB8FBD48-D907-4DB1-B665-9E90ADE4BE17}"/>
    <cellStyle name="Įprastas 5 14 2" xfId="4784" xr:uid="{6584D4B9-060F-4481-8DA4-9F9E83BA14AE}"/>
    <cellStyle name="Įprastas 5 14_8 priedas" xfId="8255" xr:uid="{2C9207DA-EA26-4155-98FD-94AB1BD969BC}"/>
    <cellStyle name="Įprastas 5 15" xfId="6512" xr:uid="{D0069144-EEC3-40CF-8121-6B4546ADC41C}"/>
    <cellStyle name="Įprastas 5 16" xfId="3056" xr:uid="{0AF4F70C-6349-4B62-9F97-8D89D1B296CC}"/>
    <cellStyle name="Įprastas 5 2" xfId="14" xr:uid="{00000000-0005-0000-0000-000013000000}"/>
    <cellStyle name="Įprastas 5 2 10" xfId="36" xr:uid="{00000000-0005-0000-0000-000014000000}"/>
    <cellStyle name="Įprastas 5 2 10 2" xfId="764" xr:uid="{00000000-0005-0000-0000-000015000000}"/>
    <cellStyle name="Įprastas 5 2 10 2 2" xfId="1333" xr:uid="{471F80ED-C18D-4966-96A2-16A104FC770E}"/>
    <cellStyle name="Įprastas 5 2 10 2 2 2" xfId="6369" xr:uid="{893A51B5-59FB-4D2B-9AB2-739653352A14}"/>
    <cellStyle name="Įprastas 5 2 10 2 2 3" xfId="8097" xr:uid="{08BD69D3-FDF0-4141-902C-1BDBE567BFDF}"/>
    <cellStyle name="Įprastas 5 2 10 2 2 4" xfId="4641" xr:uid="{3CBE61F3-C1CC-45FE-943D-63958C530EC9}"/>
    <cellStyle name="Įprastas 5 2 10 2 2_8 priedas" xfId="8257" xr:uid="{EFF7F3B5-86C8-4D4C-ADD1-5CDD88960D2E}"/>
    <cellStyle name="Įprastas 5 2 10 2 3" xfId="2912" xr:uid="{6DB3ABDA-E851-45BF-8E3D-385D293531EE}"/>
    <cellStyle name="Įprastas 5 2 10 2 3 2" xfId="5505" xr:uid="{6F4D2C54-E263-44A9-952F-00C90D146D9D}"/>
    <cellStyle name="Įprastas 5 2 10 2 3_8 priedas" xfId="8258" xr:uid="{B1FA86F2-A9EB-44AD-A2CB-391DEA45A888}"/>
    <cellStyle name="Įprastas 5 2 10 2 4" xfId="7233" xr:uid="{03437E24-B220-467A-83E2-CF236DE4DF3A}"/>
    <cellStyle name="Įprastas 5 2 10 2 5" xfId="3777" xr:uid="{2A0CB07B-1B65-4F61-AE95-4D98F298EF1B}"/>
    <cellStyle name="Įprastas 5 2 10 2_8 priedas" xfId="8256" xr:uid="{6B480AC8-C095-4081-A54B-A0A0D2ED4F66}"/>
    <cellStyle name="Įprastas 5 2 10 3" xfId="1334" xr:uid="{ADC35E44-5E14-4742-A51E-0B565B206DA9}"/>
    <cellStyle name="Įprastas 5 2 10 3 2" xfId="5662" xr:uid="{BCA371A4-E8CD-4ADD-9960-44FC987F895C}"/>
    <cellStyle name="Įprastas 5 2 10 3 3" xfId="7390" xr:uid="{C4767784-05D4-43B5-94BE-90F1449CEA46}"/>
    <cellStyle name="Įprastas 5 2 10 3 4" xfId="3934" xr:uid="{B566A1EC-A77C-4093-9E8D-28C5FBB9D0BF}"/>
    <cellStyle name="Įprastas 5 2 10 3_8 priedas" xfId="8259" xr:uid="{92866365-06C9-464E-B532-68B43DAE6452}"/>
    <cellStyle name="Įprastas 5 2 10 4" xfId="2205" xr:uid="{F16CAD5B-B6A3-46E5-9943-7FD2071BA79F}"/>
    <cellStyle name="Įprastas 5 2 10 4 2" xfId="4798" xr:uid="{2E73075E-2AF4-4850-ACE7-58670F2617F2}"/>
    <cellStyle name="Įprastas 5 2 10 4_8 priedas" xfId="8260" xr:uid="{2DD40377-24B3-40B4-A0AC-7F8D353A29B9}"/>
    <cellStyle name="Įprastas 5 2 10 5" xfId="6526" xr:uid="{90AC3A2A-E95A-489F-AC67-A5FB63ACA78D}"/>
    <cellStyle name="Įprastas 5 2 10 6" xfId="3070" xr:uid="{620C0579-2870-4875-AC24-653A78F45C3A}"/>
    <cellStyle name="Įprastas 5 2 10_8 priedas" xfId="1013" xr:uid="{00000000-0005-0000-0000-000016000000}"/>
    <cellStyle name="Įprastas 5 2 11" xfId="476" xr:uid="{00000000-0005-0000-0000-000017000000}"/>
    <cellStyle name="Įprastas 5 2 11 2" xfId="1335" xr:uid="{459F8141-114D-4441-8DE8-76D7541115AF}"/>
    <cellStyle name="Įprastas 5 2 11 2 2" xfId="6081" xr:uid="{D843C450-5788-49F3-9517-2A973C2885B0}"/>
    <cellStyle name="Įprastas 5 2 11 2 3" xfId="7809" xr:uid="{47F3C55C-6165-43B1-9596-4AA69B4F3EB4}"/>
    <cellStyle name="Įprastas 5 2 11 2 4" xfId="4353" xr:uid="{294A7ACD-2BE0-474E-8977-02190556E1D9}"/>
    <cellStyle name="Įprastas 5 2 11 2_8 priedas" xfId="8262" xr:uid="{898A1E48-0B96-45F2-A9C9-E99BF636618E}"/>
    <cellStyle name="Įprastas 5 2 11 3" xfId="2624" xr:uid="{1A39BF3E-3F87-47F9-B6A4-89FFFEFBD272}"/>
    <cellStyle name="Įprastas 5 2 11 3 2" xfId="5217" xr:uid="{E08798BE-1496-4117-BE89-4E2F9CC1FA20}"/>
    <cellStyle name="Įprastas 5 2 11 3_8 priedas" xfId="8263" xr:uid="{8A6C339D-23EB-4CBB-95AB-D65BF47CBC12}"/>
    <cellStyle name="Įprastas 5 2 11 4" xfId="6945" xr:uid="{5A7FD19C-04B2-4AF8-B8E5-B8440D38CC26}"/>
    <cellStyle name="Įprastas 5 2 11 5" xfId="3489" xr:uid="{508389E6-7FD4-4030-8BC9-EAC8A5628D74}"/>
    <cellStyle name="Įprastas 5 2 11_8 priedas" xfId="8261" xr:uid="{33B3D8FF-04FA-4503-9039-40440992D332}"/>
    <cellStyle name="Įprastas 5 2 12" xfId="1336" xr:uid="{11AFDA63-CA19-40B8-BCB6-A53E40D2ADBC}"/>
    <cellStyle name="Įprastas 5 2 12 2" xfId="5649" xr:uid="{FADB7A7B-E471-4903-95E1-779A76298F09}"/>
    <cellStyle name="Įprastas 5 2 12 3" xfId="7377" xr:uid="{F934199C-6EEE-48BA-A468-87C9AC1E12CD}"/>
    <cellStyle name="Įprastas 5 2 12 4" xfId="3921" xr:uid="{8A2D7A03-AD19-4CCB-A139-859529F97ABE}"/>
    <cellStyle name="Įprastas 5 2 12_8 priedas" xfId="8264" xr:uid="{CA5E3760-25B4-452E-82D1-EBA4406B97C7}"/>
    <cellStyle name="Įprastas 5 2 13" xfId="2192" xr:uid="{DF6A3520-9DB5-4C7C-8DBE-19BCE1BA43A1}"/>
    <cellStyle name="Įprastas 5 2 13 2" xfId="4785" xr:uid="{18E9C47C-4588-4FBB-A501-CE986FBBEB56}"/>
    <cellStyle name="Įprastas 5 2 13_8 priedas" xfId="8265" xr:uid="{69A324F2-06F3-4344-BA91-A0126CF25C86}"/>
    <cellStyle name="Įprastas 5 2 14" xfId="6513" xr:uid="{128EE1E1-4C55-4B3C-8474-743660B775EC}"/>
    <cellStyle name="Įprastas 5 2 15" xfId="3057" xr:uid="{992F9353-16FE-4E2D-830F-B4A30DF70155}"/>
    <cellStyle name="Įprastas 5 2 2" xfId="15" xr:uid="{00000000-0005-0000-0000-000018000000}"/>
    <cellStyle name="Įprastas 5 2 2 10" xfId="1337" xr:uid="{29DC840C-A3D7-405F-970A-F6E9149D1F0F}"/>
    <cellStyle name="Įprastas 5 2 2 10 2" xfId="5650" xr:uid="{C2191BF4-428C-461C-B9A8-4F597DBCA57C}"/>
    <cellStyle name="Įprastas 5 2 2 10 3" xfId="7378" xr:uid="{917B9435-9A13-42E0-BE91-34ADAC4F557F}"/>
    <cellStyle name="Įprastas 5 2 2 10 4" xfId="3922" xr:uid="{6B543EB8-C18E-4AC7-B665-5B5014686FF4}"/>
    <cellStyle name="Įprastas 5 2 2 10_8 priedas" xfId="8266" xr:uid="{81A8FC65-4FC7-4214-9D69-767433CB2FDF}"/>
    <cellStyle name="Įprastas 5 2 2 11" xfId="2193" xr:uid="{8E90D97A-6115-4F10-92CD-EAB82AB43D2C}"/>
    <cellStyle name="Įprastas 5 2 2 11 2" xfId="4786" xr:uid="{9AEB86FA-B9AF-4F9E-8F91-0AF2C0543888}"/>
    <cellStyle name="Įprastas 5 2 2 11_8 priedas" xfId="8267" xr:uid="{7979711F-28B9-4657-A713-52386057D605}"/>
    <cellStyle name="Įprastas 5 2 2 12" xfId="6514" xr:uid="{22B926AB-E1DF-4B85-B3D7-89799F62F16E}"/>
    <cellStyle name="Įprastas 5 2 2 13" xfId="3058" xr:uid="{2FC1B8AA-683F-47EA-BB32-F87FAD1B8051}"/>
    <cellStyle name="Įprastas 5 2 2 2" xfId="25" xr:uid="{00000000-0005-0000-0000-000019000000}"/>
    <cellStyle name="Įprastas 5 2 2 2 10" xfId="2200" xr:uid="{3B4664F3-C628-48CF-9844-20E00D60143C}"/>
    <cellStyle name="Įprastas 5 2 2 2 10 2" xfId="4793" xr:uid="{D3617E03-615A-446B-8415-E584CDEB89FB}"/>
    <cellStyle name="Įprastas 5 2 2 2 10_8 priedas" xfId="8268" xr:uid="{B157931B-C73D-4F6F-92D8-87FDF608F4C1}"/>
    <cellStyle name="Įprastas 5 2 2 2 11" xfId="6521" xr:uid="{FB763A39-59EE-4F02-A527-357AA1C1DF2B}"/>
    <cellStyle name="Įprastas 5 2 2 2 12" xfId="3065" xr:uid="{75F4B4C5-324C-4AAC-85DB-20611A8B1328}"/>
    <cellStyle name="Įprastas 5 2 2 2 2" xfId="38" xr:uid="{00000000-0005-0000-0000-00001A000000}"/>
    <cellStyle name="Įprastas 5 2 2 2 2 10" xfId="6527" xr:uid="{07E43BAD-49CB-4685-9D6E-903C30529DB3}"/>
    <cellStyle name="Įprastas 5 2 2 2 2 11" xfId="3071" xr:uid="{D8030B6E-8854-49B3-BAC4-1B55CF380452}"/>
    <cellStyle name="Įprastas 5 2 2 2 2 2" xfId="39" xr:uid="{00000000-0005-0000-0000-00001B000000}"/>
    <cellStyle name="Įprastas 5 2 2 2 2 2 10" xfId="3072" xr:uid="{36500FA8-5300-458E-92D9-E38B5450E3CB}"/>
    <cellStyle name="Įprastas 5 2 2 2 2 2 2" xfId="40" xr:uid="{00000000-0005-0000-0000-00001C000000}"/>
    <cellStyle name="Įprastas 5 2 2 2 2 2 2 2" xfId="41" xr:uid="{00000000-0005-0000-0000-00001D000000}"/>
    <cellStyle name="Įprastas 5 2 2 2 2 2 2 2 2" xfId="712" xr:uid="{00000000-0005-0000-0000-00001E000000}"/>
    <cellStyle name="Įprastas 5 2 2 2 2 2 2 2 2 2" xfId="1338" xr:uid="{FB0873DB-EC77-408B-8D6E-545DC0C0C73C}"/>
    <cellStyle name="Įprastas 5 2 2 2 2 2 2 2 2 2 2" xfId="6317" xr:uid="{00A225DB-7B5C-4424-8223-C081A5371D6D}"/>
    <cellStyle name="Įprastas 5 2 2 2 2 2 2 2 2 2 3" xfId="8045" xr:uid="{EB20D6A6-5ACF-4E08-8934-51CD928DDA41}"/>
    <cellStyle name="Įprastas 5 2 2 2 2 2 2 2 2 2 4" xfId="4589" xr:uid="{2DDE6E79-1EBE-4347-844A-95D8EAF12A82}"/>
    <cellStyle name="Įprastas 5 2 2 2 2 2 2 2 2 2_8 priedas" xfId="8270" xr:uid="{14BA09A6-8E05-43D6-A332-2D25945FDB42}"/>
    <cellStyle name="Įprastas 5 2 2 2 2 2 2 2 2 3" xfId="2860" xr:uid="{1E47CCD1-1045-47A9-AAF0-AE62F6CDE8C3}"/>
    <cellStyle name="Įprastas 5 2 2 2 2 2 2 2 2 3 2" xfId="5453" xr:uid="{615140AA-EB3A-4720-B915-9CC5324C400D}"/>
    <cellStyle name="Įprastas 5 2 2 2 2 2 2 2 2 3_8 priedas" xfId="8271" xr:uid="{52170AAD-DB14-498A-ABBB-AD9F2646FFD6}"/>
    <cellStyle name="Įprastas 5 2 2 2 2 2 2 2 2 4" xfId="7181" xr:uid="{9431C542-5589-4153-B8E7-383E368D0E23}"/>
    <cellStyle name="Įprastas 5 2 2 2 2 2 2 2 2 5" xfId="3725" xr:uid="{4B92BE52-61E7-4D42-8506-751BFA5E0AF1}"/>
    <cellStyle name="Įprastas 5 2 2 2 2 2 2 2 2_8 priedas" xfId="8269" xr:uid="{57F37E54-EBCC-433C-A30B-E987336C067C}"/>
    <cellStyle name="Įprastas 5 2 2 2 2 2 2 2 3" xfId="1339" xr:uid="{5F26BB92-FE1A-4282-B761-0F44895931E3}"/>
    <cellStyle name="Įprastas 5 2 2 2 2 2 2 2 3 2" xfId="5666" xr:uid="{702A9403-EECF-4633-922F-C44FEB96D1D2}"/>
    <cellStyle name="Įprastas 5 2 2 2 2 2 2 2 3 3" xfId="7394" xr:uid="{D9689125-333C-42E8-9DEA-158D7708136D}"/>
    <cellStyle name="Įprastas 5 2 2 2 2 2 2 2 3 4" xfId="3938" xr:uid="{49B028C5-001E-4846-85A4-D64D3DBFC49D}"/>
    <cellStyle name="Įprastas 5 2 2 2 2 2 2 2 3_8 priedas" xfId="8272" xr:uid="{7DBCC656-FDB7-4B5E-8D1C-2A2309B959B8}"/>
    <cellStyle name="Įprastas 5 2 2 2 2 2 2 2 4" xfId="2209" xr:uid="{446DA553-C77A-43CD-AF44-170232CACFB2}"/>
    <cellStyle name="Įprastas 5 2 2 2 2 2 2 2 4 2" xfId="4802" xr:uid="{444BF3A6-E596-493E-ACE2-439C9E3BB0E8}"/>
    <cellStyle name="Įprastas 5 2 2 2 2 2 2 2 4_8 priedas" xfId="8273" xr:uid="{49F32C3E-5740-4DBF-BD8D-0E18A1167E0B}"/>
    <cellStyle name="Įprastas 5 2 2 2 2 2 2 2 5" xfId="6530" xr:uid="{89979BD6-77AA-4D3A-B912-8DD1FDEA3302}"/>
    <cellStyle name="Įprastas 5 2 2 2 2 2 2 2 6" xfId="3074" xr:uid="{12404667-62F6-4AD0-99D2-B9B64803DAEF}"/>
    <cellStyle name="Įprastas 5 2 2 2 2 2 2 2_8 priedas" xfId="1059" xr:uid="{00000000-0005-0000-0000-00001F000000}"/>
    <cellStyle name="Įprastas 5 2 2 2 2 2 2 3" xfId="42" xr:uid="{00000000-0005-0000-0000-000020000000}"/>
    <cellStyle name="Įprastas 5 2 2 2 2 2 2 3 2" xfId="856" xr:uid="{00000000-0005-0000-0000-000021000000}"/>
    <cellStyle name="Įprastas 5 2 2 2 2 2 2 3 2 2" xfId="1340" xr:uid="{4AA5545D-FB42-4D49-B7B9-85CE18712FC3}"/>
    <cellStyle name="Įprastas 5 2 2 2 2 2 2 3 2 2 2" xfId="6461" xr:uid="{92F79CDB-433B-4B60-A6D6-5A08BCB9B378}"/>
    <cellStyle name="Įprastas 5 2 2 2 2 2 2 3 2 2 3" xfId="8189" xr:uid="{BDE15654-2BCB-4503-9469-33642FC5702F}"/>
    <cellStyle name="Įprastas 5 2 2 2 2 2 2 3 2 2 4" xfId="4733" xr:uid="{AC0CD7D1-7A3E-4C76-B6D9-9BE1690B6926}"/>
    <cellStyle name="Įprastas 5 2 2 2 2 2 2 3 2 2_8 priedas" xfId="8275" xr:uid="{A5A07B93-43F1-42FB-87A8-644CC1752195}"/>
    <cellStyle name="Įprastas 5 2 2 2 2 2 2 3 2 3" xfId="3004" xr:uid="{10AFF112-23CC-4042-BD03-F50870B071E4}"/>
    <cellStyle name="Įprastas 5 2 2 2 2 2 2 3 2 3 2" xfId="5597" xr:uid="{04038140-D7E7-4DD7-A7F3-A02E17A4EEC7}"/>
    <cellStyle name="Įprastas 5 2 2 2 2 2 2 3 2 3_8 priedas" xfId="8276" xr:uid="{019CBB06-78C2-4554-9270-C73CFCDF1C19}"/>
    <cellStyle name="Įprastas 5 2 2 2 2 2 2 3 2 4" xfId="7325" xr:uid="{E0CD9460-808E-4C73-BBDD-D2EEFD46ECCE}"/>
    <cellStyle name="Įprastas 5 2 2 2 2 2 2 3 2 5" xfId="3869" xr:uid="{4C40D283-E332-423E-B377-429E531C205F}"/>
    <cellStyle name="Įprastas 5 2 2 2 2 2 2 3 2_8 priedas" xfId="8274" xr:uid="{3C053188-1E89-498E-8A24-C7630FF2F097}"/>
    <cellStyle name="Įprastas 5 2 2 2 2 2 2 3 3" xfId="1341" xr:uid="{1676DDAE-50E4-4524-A558-B3E854440924}"/>
    <cellStyle name="Įprastas 5 2 2 2 2 2 2 3 3 2" xfId="5667" xr:uid="{ADE59453-E5CB-4053-980C-34D69D969560}"/>
    <cellStyle name="Įprastas 5 2 2 2 2 2 2 3 3 3" xfId="7395" xr:uid="{36D6DE81-8338-4951-A369-1C9D1EAB6805}"/>
    <cellStyle name="Įprastas 5 2 2 2 2 2 2 3 3 4" xfId="3939" xr:uid="{B704CC06-9381-4927-A6C5-DFC99EFEC0B3}"/>
    <cellStyle name="Įprastas 5 2 2 2 2 2 2 3 3_8 priedas" xfId="8277" xr:uid="{A3696E16-800D-4234-B21E-283E3D499CF7}"/>
    <cellStyle name="Įprastas 5 2 2 2 2 2 2 3 4" xfId="2210" xr:uid="{B045C04E-E44B-4DAB-996C-A0BEC0D43415}"/>
    <cellStyle name="Įprastas 5 2 2 2 2 2 2 3 4 2" xfId="4803" xr:uid="{5D81BF05-F312-43E0-8924-B98850F2DEE4}"/>
    <cellStyle name="Įprastas 5 2 2 2 2 2 2 3 4_8 priedas" xfId="8278" xr:uid="{48F283BD-732A-4597-9C8D-97A091AC4046}"/>
    <cellStyle name="Įprastas 5 2 2 2 2 2 2 3 5" xfId="6531" xr:uid="{3E5AB49B-1291-4774-AD0D-AE9E375D785D}"/>
    <cellStyle name="Įprastas 5 2 2 2 2 2 2 3 6" xfId="3075" xr:uid="{BD329BAE-AA7F-49AC-A37C-46957E9C46E2}"/>
    <cellStyle name="Įprastas 5 2 2 2 2 2 2 3_8 priedas" xfId="1284" xr:uid="{00000000-0005-0000-0000-000022000000}"/>
    <cellStyle name="Įprastas 5 2 2 2 2 2 2 4" xfId="568" xr:uid="{00000000-0005-0000-0000-000023000000}"/>
    <cellStyle name="Įprastas 5 2 2 2 2 2 2 4 2" xfId="1342" xr:uid="{49DB0A82-B1F9-40E5-AC35-54532A04314D}"/>
    <cellStyle name="Įprastas 5 2 2 2 2 2 2 4 2 2" xfId="6173" xr:uid="{954EF052-6B44-48F1-A7E2-05DDE24045CC}"/>
    <cellStyle name="Įprastas 5 2 2 2 2 2 2 4 2 3" xfId="7901" xr:uid="{5D1B4A9E-B73F-41C8-8467-040790B09120}"/>
    <cellStyle name="Įprastas 5 2 2 2 2 2 2 4 2 4" xfId="4445" xr:uid="{A6A04058-F026-47F6-A46A-43CFC97193E5}"/>
    <cellStyle name="Įprastas 5 2 2 2 2 2 2 4 2_8 priedas" xfId="8280" xr:uid="{F5980519-7185-4E05-A9AA-5072531B08AD}"/>
    <cellStyle name="Įprastas 5 2 2 2 2 2 2 4 3" xfId="2716" xr:uid="{C5B301DA-6AFC-42CE-A4EA-ABA175805A43}"/>
    <cellStyle name="Įprastas 5 2 2 2 2 2 2 4 3 2" xfId="5309" xr:uid="{D7DA8304-BFFE-4972-A2B5-0CA8468FCAB1}"/>
    <cellStyle name="Įprastas 5 2 2 2 2 2 2 4 3_8 priedas" xfId="8281" xr:uid="{8F899EF9-B384-452C-B211-3047771353DF}"/>
    <cellStyle name="Įprastas 5 2 2 2 2 2 2 4 4" xfId="7037" xr:uid="{3731CA51-C063-4ECD-B644-E7DBED0D2544}"/>
    <cellStyle name="Įprastas 5 2 2 2 2 2 2 4 5" xfId="3581" xr:uid="{F5D229ED-1A80-4547-820C-6905163037F4}"/>
    <cellStyle name="Įprastas 5 2 2 2 2 2 2 4_8 priedas" xfId="8279" xr:uid="{69BF8D29-8F46-4361-B8C2-9A874528B60E}"/>
    <cellStyle name="Įprastas 5 2 2 2 2 2 2 5" xfId="1343" xr:uid="{F90CA1C5-6C1A-452B-BF8B-C4E79F334C47}"/>
    <cellStyle name="Įprastas 5 2 2 2 2 2 2 5 2" xfId="5665" xr:uid="{98220943-EE4F-44E4-8268-256D725D6C85}"/>
    <cellStyle name="Įprastas 5 2 2 2 2 2 2 5 3" xfId="7393" xr:uid="{88865991-1698-48BD-8682-091E8CCDBFFF}"/>
    <cellStyle name="Įprastas 5 2 2 2 2 2 2 5 4" xfId="3937" xr:uid="{DE262AC4-90BA-484A-8547-2EADB7E513DB}"/>
    <cellStyle name="Įprastas 5 2 2 2 2 2 2 5_8 priedas" xfId="8282" xr:uid="{83834431-9E00-4236-9B5F-EBB97063D238}"/>
    <cellStyle name="Įprastas 5 2 2 2 2 2 2 6" xfId="2208" xr:uid="{812E5B6E-D0DF-4346-BE13-2CED5B10BCE5}"/>
    <cellStyle name="Įprastas 5 2 2 2 2 2 2 6 2" xfId="4801" xr:uid="{821D58D0-6D18-4160-93DB-F7F8198BBDDC}"/>
    <cellStyle name="Įprastas 5 2 2 2 2 2 2 6_8 priedas" xfId="8283" xr:uid="{DCF44C71-3EEA-4209-B91C-7CB342870EE2}"/>
    <cellStyle name="Įprastas 5 2 2 2 2 2 2 7" xfId="6529" xr:uid="{88D66B43-BA88-41EC-AEEE-B0D666F3F5B8}"/>
    <cellStyle name="Įprastas 5 2 2 2 2 2 2 8" xfId="3073" xr:uid="{222AD467-5EFE-497B-AC8F-596E47049EC6}"/>
    <cellStyle name="Įprastas 5 2 2 2 2 2 2_8 priedas" xfId="1194" xr:uid="{00000000-0005-0000-0000-000024000000}"/>
    <cellStyle name="Įprastas 5 2 2 2 2 2 3" xfId="43" xr:uid="{00000000-0005-0000-0000-000025000000}"/>
    <cellStyle name="Įprastas 5 2 2 2 2 2 3 2" xfId="44" xr:uid="{00000000-0005-0000-0000-000026000000}"/>
    <cellStyle name="Įprastas 5 2 2 2 2 2 3 2 2" xfId="760" xr:uid="{00000000-0005-0000-0000-000027000000}"/>
    <cellStyle name="Įprastas 5 2 2 2 2 2 3 2 2 2" xfId="1344" xr:uid="{4E78A080-E0FA-452B-9D9E-5887D2E78C40}"/>
    <cellStyle name="Įprastas 5 2 2 2 2 2 3 2 2 2 2" xfId="6365" xr:uid="{3713AD3E-2219-426A-9D31-A3042D30FA36}"/>
    <cellStyle name="Įprastas 5 2 2 2 2 2 3 2 2 2 3" xfId="8093" xr:uid="{83A71B9C-1F81-4A41-98C8-EE61E0C157AD}"/>
    <cellStyle name="Įprastas 5 2 2 2 2 2 3 2 2 2 4" xfId="4637" xr:uid="{A76DE9E8-2360-496E-88E9-8E6A729CF47F}"/>
    <cellStyle name="Įprastas 5 2 2 2 2 2 3 2 2 2_8 priedas" xfId="8285" xr:uid="{14439865-C0C9-42F5-ACBF-11F8FCA9A92F}"/>
    <cellStyle name="Įprastas 5 2 2 2 2 2 3 2 2 3" xfId="2908" xr:uid="{01695C18-46D6-45A8-B0A8-25E16FFD9824}"/>
    <cellStyle name="Įprastas 5 2 2 2 2 2 3 2 2 3 2" xfId="5501" xr:uid="{BF8D73AD-530A-4B5D-90E6-1E29A76D354D}"/>
    <cellStyle name="Įprastas 5 2 2 2 2 2 3 2 2 3_8 priedas" xfId="8286" xr:uid="{D7D9D699-8B09-4D8A-9E9B-61836C16F518}"/>
    <cellStyle name="Įprastas 5 2 2 2 2 2 3 2 2 4" xfId="7229" xr:uid="{1B433CC7-4BA1-4B45-9091-413EC418529C}"/>
    <cellStyle name="Įprastas 5 2 2 2 2 2 3 2 2 5" xfId="3773" xr:uid="{F48CB2EF-F966-4542-AD83-E2BE14854E5C}"/>
    <cellStyle name="Įprastas 5 2 2 2 2 2 3 2 2_8 priedas" xfId="8284" xr:uid="{A7EA0718-A5A4-4DC5-A4F5-6B479393D3EB}"/>
    <cellStyle name="Įprastas 5 2 2 2 2 2 3 2 3" xfId="1345" xr:uid="{31702AAF-2136-4A26-A5C3-500CC1BC968E}"/>
    <cellStyle name="Įprastas 5 2 2 2 2 2 3 2 3 2" xfId="5669" xr:uid="{D28655BD-2CD4-42A6-A0A9-EF3B7BD8CF0E}"/>
    <cellStyle name="Įprastas 5 2 2 2 2 2 3 2 3 3" xfId="7397" xr:uid="{16966A5A-0FCB-4D3D-BC3B-1FBB9CFBF2C6}"/>
    <cellStyle name="Įprastas 5 2 2 2 2 2 3 2 3 4" xfId="3941" xr:uid="{625119A3-4174-4E76-BC84-000A661B6267}"/>
    <cellStyle name="Įprastas 5 2 2 2 2 2 3 2 3_8 priedas" xfId="8287" xr:uid="{B89F33F0-371D-4C13-9ABD-DFEFCEE98D1F}"/>
    <cellStyle name="Įprastas 5 2 2 2 2 2 3 2 4" xfId="2212" xr:uid="{7F42F273-A399-4479-95D1-4353A1DC4844}"/>
    <cellStyle name="Įprastas 5 2 2 2 2 2 3 2 4 2" xfId="4805" xr:uid="{38ACEEDF-E728-4A94-9957-E47F6A5DC6F4}"/>
    <cellStyle name="Įprastas 5 2 2 2 2 2 3 2 4_8 priedas" xfId="8288" xr:uid="{315B6D11-DEFF-4EF6-8CD3-CD895C701419}"/>
    <cellStyle name="Įprastas 5 2 2 2 2 2 3 2 5" xfId="6533" xr:uid="{C6A462CA-05B4-499B-A5E8-274BC7F48172}"/>
    <cellStyle name="Įprastas 5 2 2 2 2 2 3 2 6" xfId="3077" xr:uid="{1F4900BB-A7D9-48BD-BCF3-E696B8EDFDCF}"/>
    <cellStyle name="Įprastas 5 2 2 2 2 2 3 2_8 priedas" xfId="1012" xr:uid="{00000000-0005-0000-0000-000028000000}"/>
    <cellStyle name="Įprastas 5 2 2 2 2 2 3 3" xfId="45" xr:uid="{00000000-0005-0000-0000-000029000000}"/>
    <cellStyle name="Įprastas 5 2 2 2 2 2 3 3 2" xfId="904" xr:uid="{00000000-0005-0000-0000-00002A000000}"/>
    <cellStyle name="Įprastas 5 2 2 2 2 2 3 3 2 2" xfId="1346" xr:uid="{50AD1FF2-C445-422B-8948-1EF2D62C2B77}"/>
    <cellStyle name="Įprastas 5 2 2 2 2 2 3 3 2 2 2" xfId="6509" xr:uid="{D36C3B4B-6A70-4D51-BED1-BCBF293FA25F}"/>
    <cellStyle name="Įprastas 5 2 2 2 2 2 3 3 2 2 3" xfId="8237" xr:uid="{880F271E-09FA-4BCF-8B8C-DB182994A46E}"/>
    <cellStyle name="Įprastas 5 2 2 2 2 2 3 3 2 2 4" xfId="4781" xr:uid="{52E0735B-B646-4830-B449-3DEC37F36F30}"/>
    <cellStyle name="Įprastas 5 2 2 2 2 2 3 3 2 2_8 priedas" xfId="8290" xr:uid="{CD7BD9E8-6EBF-4E32-A579-9A79E155620E}"/>
    <cellStyle name="Įprastas 5 2 2 2 2 2 3 3 2 3" xfId="3052" xr:uid="{F09F23AE-6787-4E27-A59D-ED7611724CC1}"/>
    <cellStyle name="Įprastas 5 2 2 2 2 2 3 3 2 3 2" xfId="5645" xr:uid="{E1477E13-67AF-4D74-A255-D47E0531DF1B}"/>
    <cellStyle name="Įprastas 5 2 2 2 2 2 3 3 2 3_8 priedas" xfId="8291" xr:uid="{F7D83E86-9E5E-414B-ABB5-3BDCC723F3AE}"/>
    <cellStyle name="Įprastas 5 2 2 2 2 2 3 3 2 4" xfId="7373" xr:uid="{C018CA35-5EA7-469F-B531-88471009529F}"/>
    <cellStyle name="Įprastas 5 2 2 2 2 2 3 3 2 5" xfId="3917" xr:uid="{48210655-DF61-4110-A295-B3641490664F}"/>
    <cellStyle name="Įprastas 5 2 2 2 2 2 3 3 2_8 priedas" xfId="8289" xr:uid="{B9CEE75E-4440-434C-B684-5FAA9E6ECA7F}"/>
    <cellStyle name="Įprastas 5 2 2 2 2 2 3 3 3" xfId="1347" xr:uid="{4D4A6C8E-876C-4303-AEE2-60DACC800297}"/>
    <cellStyle name="Įprastas 5 2 2 2 2 2 3 3 3 2" xfId="5670" xr:uid="{56AF0A13-4226-4260-BE4F-7964F7119895}"/>
    <cellStyle name="Įprastas 5 2 2 2 2 2 3 3 3 3" xfId="7398" xr:uid="{53FCBF56-A9DF-4370-8762-BD3D6267E107}"/>
    <cellStyle name="Įprastas 5 2 2 2 2 2 3 3 3 4" xfId="3942" xr:uid="{82461346-2BD9-4387-BF2E-0E155097A5AA}"/>
    <cellStyle name="Įprastas 5 2 2 2 2 2 3 3 3_8 priedas" xfId="8292" xr:uid="{9DA959D5-1225-439F-A524-6D3BD183A5CC}"/>
    <cellStyle name="Įprastas 5 2 2 2 2 2 3 3 4" xfId="2213" xr:uid="{FAA24DCA-B536-41A8-9A2B-6F23D306346D}"/>
    <cellStyle name="Įprastas 5 2 2 2 2 2 3 3 4 2" xfId="4806" xr:uid="{894AF701-DCBE-4B7E-BF26-7140A8592927}"/>
    <cellStyle name="Įprastas 5 2 2 2 2 2 3 3 4_8 priedas" xfId="8293" xr:uid="{26129CE3-6A92-4485-BB87-2876E6C100C9}"/>
    <cellStyle name="Įprastas 5 2 2 2 2 2 3 3 5" xfId="6534" xr:uid="{C5E736DC-9304-4D70-BE19-4D436CD07272}"/>
    <cellStyle name="Įprastas 5 2 2 2 2 2 3 3 6" xfId="3078" xr:uid="{C7801DDA-1A7C-48C9-B57F-52A573FF78FD}"/>
    <cellStyle name="Įprastas 5 2 2 2 2 2 3 3_8 priedas" xfId="1238" xr:uid="{00000000-0005-0000-0000-00002B000000}"/>
    <cellStyle name="Įprastas 5 2 2 2 2 2 3 4" xfId="616" xr:uid="{00000000-0005-0000-0000-00002C000000}"/>
    <cellStyle name="Įprastas 5 2 2 2 2 2 3 4 2" xfId="1348" xr:uid="{0678B2A0-8F9F-43F6-9532-F69130CEF718}"/>
    <cellStyle name="Įprastas 5 2 2 2 2 2 3 4 2 2" xfId="6221" xr:uid="{A5E71023-6C42-4466-8100-3801D1E093F3}"/>
    <cellStyle name="Įprastas 5 2 2 2 2 2 3 4 2 3" xfId="7949" xr:uid="{15AD9A82-1D23-4674-A326-917E22BEEEA5}"/>
    <cellStyle name="Įprastas 5 2 2 2 2 2 3 4 2 4" xfId="4493" xr:uid="{27F21BCB-8E91-4E6F-9FF3-CA98C44BF6B4}"/>
    <cellStyle name="Įprastas 5 2 2 2 2 2 3 4 2_8 priedas" xfId="8295" xr:uid="{B55E49B8-520F-4B84-AB15-B7795FF64AEA}"/>
    <cellStyle name="Įprastas 5 2 2 2 2 2 3 4 3" xfId="2764" xr:uid="{6E8163D2-3ECB-4845-8173-46B44B0F5020}"/>
    <cellStyle name="Įprastas 5 2 2 2 2 2 3 4 3 2" xfId="5357" xr:uid="{E91B5385-E152-4A7B-9D67-AF555F8B0B87}"/>
    <cellStyle name="Įprastas 5 2 2 2 2 2 3 4 3_8 priedas" xfId="8296" xr:uid="{EA33BA16-D67D-4B7F-BBEE-D797643B1DDF}"/>
    <cellStyle name="Įprastas 5 2 2 2 2 2 3 4 4" xfId="7085" xr:uid="{8C6E3149-A39B-4181-9E11-4C7029136F2C}"/>
    <cellStyle name="Įprastas 5 2 2 2 2 2 3 4 5" xfId="3629" xr:uid="{6D9F6FF7-6670-4AA2-809F-178A9C02BA2B}"/>
    <cellStyle name="Įprastas 5 2 2 2 2 2 3 4_8 priedas" xfId="8294" xr:uid="{656D2DD3-3111-4822-877D-93ABE917635F}"/>
    <cellStyle name="Įprastas 5 2 2 2 2 2 3 5" xfId="1349" xr:uid="{6E409410-798D-414C-9DF5-09250CCE69F2}"/>
    <cellStyle name="Įprastas 5 2 2 2 2 2 3 5 2" xfId="5668" xr:uid="{D5200FE1-FEF4-4084-B5D2-BA2401F1DF14}"/>
    <cellStyle name="Įprastas 5 2 2 2 2 2 3 5 3" xfId="7396" xr:uid="{729DF448-C9CD-4AAD-973B-44E0F627CFE4}"/>
    <cellStyle name="Įprastas 5 2 2 2 2 2 3 5 4" xfId="3940" xr:uid="{4ABDC039-5A24-463E-B598-53D9CCC7FB5B}"/>
    <cellStyle name="Įprastas 5 2 2 2 2 2 3 5_8 priedas" xfId="8297" xr:uid="{77B550B5-C3BE-40F3-B25F-B204A03B83E5}"/>
    <cellStyle name="Įprastas 5 2 2 2 2 2 3 6" xfId="2211" xr:uid="{1F90C98D-F655-42E3-BB2F-5D50B9011B97}"/>
    <cellStyle name="Įprastas 5 2 2 2 2 2 3 6 2" xfId="4804" xr:uid="{01ED56F5-3CAA-4C23-B8D7-F467BEA86812}"/>
    <cellStyle name="Įprastas 5 2 2 2 2 2 3 6_8 priedas" xfId="8298" xr:uid="{7ADBEDB9-8627-48B3-80B1-737E8527BEE7}"/>
    <cellStyle name="Įprastas 5 2 2 2 2 2 3 7" xfId="6532" xr:uid="{6102A71B-5B44-40E2-889E-C9D6642F98FB}"/>
    <cellStyle name="Įprastas 5 2 2 2 2 2 3 8" xfId="3076" xr:uid="{1978E956-F86C-4664-B323-D9C6CD2D8A73}"/>
    <cellStyle name="Įprastas 5 2 2 2 2 2 3_8 priedas" xfId="1148" xr:uid="{00000000-0005-0000-0000-00002D000000}"/>
    <cellStyle name="Įprastas 5 2 2 2 2 2 4" xfId="46" xr:uid="{00000000-0005-0000-0000-00002E000000}"/>
    <cellStyle name="Įprastas 5 2 2 2 2 2 4 2" xfId="664" xr:uid="{00000000-0005-0000-0000-00002F000000}"/>
    <cellStyle name="Įprastas 5 2 2 2 2 2 4 2 2" xfId="1350" xr:uid="{4E4DD3AB-7DC6-4AC9-8E6B-E9DF4392103F}"/>
    <cellStyle name="Įprastas 5 2 2 2 2 2 4 2 2 2" xfId="6269" xr:uid="{1A2A5898-82B2-4460-A4B2-3D9BF04D1021}"/>
    <cellStyle name="Įprastas 5 2 2 2 2 2 4 2 2 3" xfId="7997" xr:uid="{FF71EDEC-D4DA-4692-9B6A-A43FDA64FF64}"/>
    <cellStyle name="Įprastas 5 2 2 2 2 2 4 2 2 4" xfId="4541" xr:uid="{1EB96ECC-0EF9-4229-8F69-028E0168A8E3}"/>
    <cellStyle name="Įprastas 5 2 2 2 2 2 4 2 2_8 priedas" xfId="8300" xr:uid="{243CB473-C00A-44CC-9C85-70D15D658AFC}"/>
    <cellStyle name="Įprastas 5 2 2 2 2 2 4 2 3" xfId="2812" xr:uid="{76000306-42F7-4F17-AC05-AEFB3A17B8C6}"/>
    <cellStyle name="Įprastas 5 2 2 2 2 2 4 2 3 2" xfId="5405" xr:uid="{9A094776-37DD-49D5-9A38-EBAEA74E9C2C}"/>
    <cellStyle name="Įprastas 5 2 2 2 2 2 4 2 3_8 priedas" xfId="8301" xr:uid="{2417264C-047D-41FE-AC28-A9860D12E55E}"/>
    <cellStyle name="Įprastas 5 2 2 2 2 2 4 2 4" xfId="7133" xr:uid="{549FB924-6160-4F00-A7FF-48C594774001}"/>
    <cellStyle name="Įprastas 5 2 2 2 2 2 4 2 5" xfId="3677" xr:uid="{6E9F5926-6399-443D-8E8F-CCA7788B2020}"/>
    <cellStyle name="Įprastas 5 2 2 2 2 2 4 2_8 priedas" xfId="8299" xr:uid="{92353AE6-269B-4ED7-A229-818FE6646AED}"/>
    <cellStyle name="Įprastas 5 2 2 2 2 2 4 3" xfId="1351" xr:uid="{A3F3B42E-8A96-4834-A77F-D12D8F79BB58}"/>
    <cellStyle name="Įprastas 5 2 2 2 2 2 4 3 2" xfId="5671" xr:uid="{FC668A98-B574-4132-8595-04FF3A967157}"/>
    <cellStyle name="Įprastas 5 2 2 2 2 2 4 3 3" xfId="7399" xr:uid="{69968693-6C70-45CC-9BC2-AB2E0E574D8E}"/>
    <cellStyle name="Įprastas 5 2 2 2 2 2 4 3 4" xfId="3943" xr:uid="{7DF9D4A6-D3AE-43CB-AF0C-9867E73249D3}"/>
    <cellStyle name="Įprastas 5 2 2 2 2 2 4 3_8 priedas" xfId="8302" xr:uid="{B53FF5AB-C28F-43AC-85CF-0BE74D7653A4}"/>
    <cellStyle name="Įprastas 5 2 2 2 2 2 4 4" xfId="2214" xr:uid="{6CFEC082-AFFC-4921-BB46-B9D15FC832B0}"/>
    <cellStyle name="Įprastas 5 2 2 2 2 2 4 4 2" xfId="4807" xr:uid="{17865947-75C2-45E2-B209-A6C5DCA43020}"/>
    <cellStyle name="Įprastas 5 2 2 2 2 2 4 4_8 priedas" xfId="8303" xr:uid="{A907EC55-8F8F-4772-98E7-400190291747}"/>
    <cellStyle name="Įprastas 5 2 2 2 2 2 4 5" xfId="6535" xr:uid="{BB411DDB-61AE-4162-B991-F2F972B843F1}"/>
    <cellStyle name="Įprastas 5 2 2 2 2 2 4 6" xfId="3079" xr:uid="{24F8487D-B3E8-446A-BD76-F1DFEE417D7E}"/>
    <cellStyle name="Įprastas 5 2 2 2 2 2 4_8 priedas" xfId="1108" xr:uid="{00000000-0005-0000-0000-000030000000}"/>
    <cellStyle name="Įprastas 5 2 2 2 2 2 5" xfId="47" xr:uid="{00000000-0005-0000-0000-000031000000}"/>
    <cellStyle name="Įprastas 5 2 2 2 2 2 5 2" xfId="808" xr:uid="{00000000-0005-0000-0000-000032000000}"/>
    <cellStyle name="Įprastas 5 2 2 2 2 2 5 2 2" xfId="1352" xr:uid="{11292E09-0BBE-41DA-B526-ED54322F3ACF}"/>
    <cellStyle name="Įprastas 5 2 2 2 2 2 5 2 2 2" xfId="6413" xr:uid="{CA147499-DE3F-4437-B091-71E8F9882C91}"/>
    <cellStyle name="Įprastas 5 2 2 2 2 2 5 2 2 3" xfId="8141" xr:uid="{563DF0E0-7A79-4467-B107-DD819B641BE7}"/>
    <cellStyle name="Įprastas 5 2 2 2 2 2 5 2 2 4" xfId="4685" xr:uid="{2D233B7E-BCF0-4FD6-8DCE-12894EED3CBF}"/>
    <cellStyle name="Įprastas 5 2 2 2 2 2 5 2 2_8 priedas" xfId="8305" xr:uid="{2569DFC1-7BE1-4CD0-99D4-06E62B86F64A}"/>
    <cellStyle name="Įprastas 5 2 2 2 2 2 5 2 3" xfId="2956" xr:uid="{F44A2CDE-0F8F-4A06-A964-9F4BB39CD739}"/>
    <cellStyle name="Įprastas 5 2 2 2 2 2 5 2 3 2" xfId="5549" xr:uid="{6E1E4591-19DA-41BF-9106-3FD1D687D1CB}"/>
    <cellStyle name="Įprastas 5 2 2 2 2 2 5 2 3_8 priedas" xfId="8306" xr:uid="{76EE76AC-BC5E-4BE5-9AED-1E5BBF45A062}"/>
    <cellStyle name="Įprastas 5 2 2 2 2 2 5 2 4" xfId="7277" xr:uid="{AE091C32-F597-4BB8-A5E9-500A58E6CD84}"/>
    <cellStyle name="Įprastas 5 2 2 2 2 2 5 2 5" xfId="3821" xr:uid="{A30B8295-38B6-4F6C-B2A8-C714C96AEDDA}"/>
    <cellStyle name="Įprastas 5 2 2 2 2 2 5 2_8 priedas" xfId="8304" xr:uid="{4B8B619D-5603-409B-83A0-D77742622B5E}"/>
    <cellStyle name="Įprastas 5 2 2 2 2 2 5 3" xfId="1353" xr:uid="{BE989FB2-A18B-4691-9ABA-A94C7BC943BE}"/>
    <cellStyle name="Įprastas 5 2 2 2 2 2 5 3 2" xfId="5672" xr:uid="{9B00B87D-BFF2-4AD1-BD26-D93B5C28588F}"/>
    <cellStyle name="Įprastas 5 2 2 2 2 2 5 3 3" xfId="7400" xr:uid="{C3F64D59-B1A4-4391-BCAB-12C287D2702B}"/>
    <cellStyle name="Įprastas 5 2 2 2 2 2 5 3 4" xfId="3944" xr:uid="{FDE17514-80F8-4972-97C3-1572BD58FEB8}"/>
    <cellStyle name="Įprastas 5 2 2 2 2 2 5 3_8 priedas" xfId="8307" xr:uid="{CA8887B7-4824-4FC1-8D69-AFD669A2B58B}"/>
    <cellStyle name="Įprastas 5 2 2 2 2 2 5 4" xfId="2215" xr:uid="{9D3EBF6F-4AEC-48AD-8D64-0A246533EB22}"/>
    <cellStyle name="Įprastas 5 2 2 2 2 2 5 4 2" xfId="4808" xr:uid="{7B993A43-0CF9-4F4C-9109-EACFD7FDF2B2}"/>
    <cellStyle name="Įprastas 5 2 2 2 2 2 5 4_8 priedas" xfId="8308" xr:uid="{A959182F-0294-405A-A479-9B365B4D6424}"/>
    <cellStyle name="Įprastas 5 2 2 2 2 2 5 5" xfId="6536" xr:uid="{B5F982D0-6AFA-40F3-9B28-AA91A049566E}"/>
    <cellStyle name="Įprastas 5 2 2 2 2 2 5 6" xfId="3080" xr:uid="{488A71B7-6DC2-466C-869C-E02F2219AD63}"/>
    <cellStyle name="Įprastas 5 2 2 2 2 2 5_8 priedas" xfId="971" xr:uid="{00000000-0005-0000-0000-000033000000}"/>
    <cellStyle name="Įprastas 5 2 2 2 2 2 6" xfId="520" xr:uid="{00000000-0005-0000-0000-000034000000}"/>
    <cellStyle name="Įprastas 5 2 2 2 2 2 6 2" xfId="1354" xr:uid="{C7024B43-2158-43FF-AB8C-ED8D074793E7}"/>
    <cellStyle name="Įprastas 5 2 2 2 2 2 6 2 2" xfId="6125" xr:uid="{A6A53EF9-7A79-4F3D-A2A3-C67271B0ACEA}"/>
    <cellStyle name="Įprastas 5 2 2 2 2 2 6 2 3" xfId="7853" xr:uid="{2A854971-F230-49B0-91B0-38C7CE563446}"/>
    <cellStyle name="Įprastas 5 2 2 2 2 2 6 2 4" xfId="4397" xr:uid="{3DABE031-A7DD-42AD-978E-1BC12D4C766A}"/>
    <cellStyle name="Įprastas 5 2 2 2 2 2 6 2_8 priedas" xfId="8310" xr:uid="{0B0D9A91-09B2-4C84-8935-B28D2074A0D1}"/>
    <cellStyle name="Įprastas 5 2 2 2 2 2 6 3" xfId="2668" xr:uid="{8BF97EE1-F6DF-440D-8E1D-8BF0C5476613}"/>
    <cellStyle name="Įprastas 5 2 2 2 2 2 6 3 2" xfId="5261" xr:uid="{C7641DC1-2C81-4A22-B6ED-B39AB5B2D411}"/>
    <cellStyle name="Įprastas 5 2 2 2 2 2 6 3_8 priedas" xfId="8311" xr:uid="{18A1420A-48A3-4EBB-9E21-0CF0450638B3}"/>
    <cellStyle name="Įprastas 5 2 2 2 2 2 6 4" xfId="6989" xr:uid="{28521C16-DB96-4760-85C8-95A66FE4DEDF}"/>
    <cellStyle name="Įprastas 5 2 2 2 2 2 6 5" xfId="3533" xr:uid="{8F2A577B-5515-4DA0-B3A7-6643CD8F0B99}"/>
    <cellStyle name="Įprastas 5 2 2 2 2 2 6_8 priedas" xfId="8309" xr:uid="{F34A3F02-C672-46D8-B113-27D17202793A}"/>
    <cellStyle name="Įprastas 5 2 2 2 2 2 7" xfId="1355" xr:uid="{359E8D9D-A39A-4706-8957-8151BE46EE2C}"/>
    <cellStyle name="Įprastas 5 2 2 2 2 2 7 2" xfId="5664" xr:uid="{3984A9CC-CFE5-4D38-B432-1C9DBE001761}"/>
    <cellStyle name="Įprastas 5 2 2 2 2 2 7 3" xfId="7392" xr:uid="{71CEB404-A855-4715-BDFA-5798B009444E}"/>
    <cellStyle name="Įprastas 5 2 2 2 2 2 7 4" xfId="3936" xr:uid="{5073831A-3BA9-4AF9-B79E-0A229A8C7F74}"/>
    <cellStyle name="Įprastas 5 2 2 2 2 2 7_8 priedas" xfId="8312" xr:uid="{8FD5772A-CE94-491E-B5F5-F06261D639F6}"/>
    <cellStyle name="Įprastas 5 2 2 2 2 2 8" xfId="2207" xr:uid="{44D9A150-4289-436A-956E-61E072B71B9A}"/>
    <cellStyle name="Įprastas 5 2 2 2 2 2 8 2" xfId="4800" xr:uid="{60180C8D-902F-4C03-893F-23554C141DAF}"/>
    <cellStyle name="Įprastas 5 2 2 2 2 2 8_8 priedas" xfId="8313" xr:uid="{823CBF2D-6553-446A-8724-9CD8FA7A0162}"/>
    <cellStyle name="Įprastas 5 2 2 2 2 2 9" xfId="6528" xr:uid="{A806F6DA-FD8D-42E7-B123-EBF76CC087D2}"/>
    <cellStyle name="Įprastas 5 2 2 2 2 2_8 priedas" xfId="912" xr:uid="{00000000-0005-0000-0000-000035000000}"/>
    <cellStyle name="Įprastas 5 2 2 2 2 3" xfId="48" xr:uid="{00000000-0005-0000-0000-000036000000}"/>
    <cellStyle name="Įprastas 5 2 2 2 2 3 2" xfId="49" xr:uid="{00000000-0005-0000-0000-000037000000}"/>
    <cellStyle name="Įprastas 5 2 2 2 2 3 2 2" xfId="688" xr:uid="{00000000-0005-0000-0000-000038000000}"/>
    <cellStyle name="Įprastas 5 2 2 2 2 3 2 2 2" xfId="1356" xr:uid="{9BDC197F-CCF2-40CA-96BE-171DF74113D2}"/>
    <cellStyle name="Įprastas 5 2 2 2 2 3 2 2 2 2" xfId="6293" xr:uid="{E63C466C-7FE7-44F8-9FC0-F0D2BBEB4EE0}"/>
    <cellStyle name="Įprastas 5 2 2 2 2 3 2 2 2 3" xfId="8021" xr:uid="{1CD39764-D2D7-48C4-8DAE-81FF4334349F}"/>
    <cellStyle name="Įprastas 5 2 2 2 2 3 2 2 2 4" xfId="4565" xr:uid="{57D8A580-7C38-41B8-8D4B-E034FAB4B180}"/>
    <cellStyle name="Įprastas 5 2 2 2 2 3 2 2 2_8 priedas" xfId="8315" xr:uid="{8385B682-B52D-40D4-9790-97746750888A}"/>
    <cellStyle name="Įprastas 5 2 2 2 2 3 2 2 3" xfId="2836" xr:uid="{3B80D6A0-E1EC-4C9B-B222-55A8921BE4A5}"/>
    <cellStyle name="Įprastas 5 2 2 2 2 3 2 2 3 2" xfId="5429" xr:uid="{0BDB9A5D-1BAA-4397-8ED5-0AB13809BC7A}"/>
    <cellStyle name="Įprastas 5 2 2 2 2 3 2 2 3_8 priedas" xfId="8316" xr:uid="{E57295B7-D65C-493A-B8C7-B42AC6A36BD9}"/>
    <cellStyle name="Įprastas 5 2 2 2 2 3 2 2 4" xfId="7157" xr:uid="{4D7369E0-C894-4210-9794-4968F13E8B2A}"/>
    <cellStyle name="Įprastas 5 2 2 2 2 3 2 2 5" xfId="3701" xr:uid="{ADB913E8-A34B-4E37-B267-988D1F4ABAB8}"/>
    <cellStyle name="Įprastas 5 2 2 2 2 3 2 2_8 priedas" xfId="8314" xr:uid="{A33A6812-1B59-45C3-8F25-AC0732FDEEFD}"/>
    <cellStyle name="Įprastas 5 2 2 2 2 3 2 3" xfId="1357" xr:uid="{FE964B3C-1AFE-4239-9D40-4FC8801AE5F1}"/>
    <cellStyle name="Įprastas 5 2 2 2 2 3 2 3 2" xfId="5674" xr:uid="{0D2518F2-87BE-4181-9EB7-4B153DB2DFD5}"/>
    <cellStyle name="Įprastas 5 2 2 2 2 3 2 3 3" xfId="7402" xr:uid="{88D58B5A-4E17-42CC-9874-0A2A6B7DF8B9}"/>
    <cellStyle name="Įprastas 5 2 2 2 2 3 2 3 4" xfId="3946" xr:uid="{A89A8040-3FFE-4590-9744-87D5305F8070}"/>
    <cellStyle name="Įprastas 5 2 2 2 2 3 2 3_8 priedas" xfId="8317" xr:uid="{F1F1721B-F0A7-43DB-B6FA-EE369E4FC271}"/>
    <cellStyle name="Įprastas 5 2 2 2 2 3 2 4" xfId="2217" xr:uid="{EC9B91FA-F776-473C-8BBD-507B47268A10}"/>
    <cellStyle name="Įprastas 5 2 2 2 2 3 2 4 2" xfId="4810" xr:uid="{18DE7A1B-3FDC-457F-8D7E-2F78517C59E8}"/>
    <cellStyle name="Įprastas 5 2 2 2 2 3 2 4_8 priedas" xfId="8318" xr:uid="{38B601BE-CD7F-430C-8031-C3F79A097744}"/>
    <cellStyle name="Įprastas 5 2 2 2 2 3 2 5" xfId="6538" xr:uid="{CB32B766-99E1-4B13-8B78-9797A536AEE8}"/>
    <cellStyle name="Įprastas 5 2 2 2 2 3 2 6" xfId="3082" xr:uid="{4B524114-0A70-429C-8D48-B6512FB8BE9E}"/>
    <cellStyle name="Įprastas 5 2 2 2 2 3 2_8 priedas" xfId="924" xr:uid="{00000000-0005-0000-0000-000039000000}"/>
    <cellStyle name="Įprastas 5 2 2 2 2 3 3" xfId="50" xr:uid="{00000000-0005-0000-0000-00003A000000}"/>
    <cellStyle name="Įprastas 5 2 2 2 2 3 3 2" xfId="832" xr:uid="{00000000-0005-0000-0000-00003B000000}"/>
    <cellStyle name="Įprastas 5 2 2 2 2 3 3 2 2" xfId="1358" xr:uid="{D3D3A7C8-5181-40C6-8D4B-78A9E3ECCF57}"/>
    <cellStyle name="Įprastas 5 2 2 2 2 3 3 2 2 2" xfId="6437" xr:uid="{B9E68BF5-F4F1-4C4A-AF04-28342909C76F}"/>
    <cellStyle name="Įprastas 5 2 2 2 2 3 3 2 2 3" xfId="8165" xr:uid="{3A7F8C99-27FA-468F-8F3C-6BDB9CECF1AD}"/>
    <cellStyle name="Įprastas 5 2 2 2 2 3 3 2 2 4" xfId="4709" xr:uid="{12B8F305-5E5C-4F9D-ABC1-2E67C109E3F8}"/>
    <cellStyle name="Įprastas 5 2 2 2 2 3 3 2 2_8 priedas" xfId="8320" xr:uid="{5B774BD5-01F9-4FA5-8A5F-B5D11C6C14FC}"/>
    <cellStyle name="Įprastas 5 2 2 2 2 3 3 2 3" xfId="2980" xr:uid="{5C5601E8-73D0-4E08-86F1-C8920CDEE030}"/>
    <cellStyle name="Įprastas 5 2 2 2 2 3 3 2 3 2" xfId="5573" xr:uid="{E5A9246A-1FF5-488C-9ECC-6F60859800CE}"/>
    <cellStyle name="Įprastas 5 2 2 2 2 3 3 2 3_8 priedas" xfId="8321" xr:uid="{81AB322A-1262-457A-9813-43385CAB4B06}"/>
    <cellStyle name="Įprastas 5 2 2 2 2 3 3 2 4" xfId="7301" xr:uid="{C62C3C4E-4BFD-4988-99E9-24C67A7FCA39}"/>
    <cellStyle name="Įprastas 5 2 2 2 2 3 3 2 5" xfId="3845" xr:uid="{5DFD2E34-52D0-4055-BBAC-F34610A40A20}"/>
    <cellStyle name="Įprastas 5 2 2 2 2 3 3 2_8 priedas" xfId="8319" xr:uid="{B7D6FA19-8CF8-4412-AFFA-68FF2A35348C}"/>
    <cellStyle name="Įprastas 5 2 2 2 2 3 3 3" xfId="1359" xr:uid="{37794E0C-49C6-46AD-8B56-4543FF4E405E}"/>
    <cellStyle name="Įprastas 5 2 2 2 2 3 3 3 2" xfId="5675" xr:uid="{84DD006A-5B42-4C26-A0B9-0DA29685F07D}"/>
    <cellStyle name="Įprastas 5 2 2 2 2 3 3 3 3" xfId="7403" xr:uid="{2BD545DC-796C-432B-B8D6-69733FC99255}"/>
    <cellStyle name="Įprastas 5 2 2 2 2 3 3 3 4" xfId="3947" xr:uid="{0629932F-5351-4F14-85D6-8D63D78B2A74}"/>
    <cellStyle name="Įprastas 5 2 2 2 2 3 3 3_8 priedas" xfId="8322" xr:uid="{BC112103-11C7-4F37-AABF-E82B3C73FE3F}"/>
    <cellStyle name="Įprastas 5 2 2 2 2 3 3 4" xfId="2218" xr:uid="{19D7E99D-FD38-47D3-9091-F6FE2F455ABD}"/>
    <cellStyle name="Įprastas 5 2 2 2 2 3 3 4 2" xfId="4811" xr:uid="{2FFD1FAE-A3A9-43FB-A789-DD98D1E9362F}"/>
    <cellStyle name="Įprastas 5 2 2 2 2 3 3 4_8 priedas" xfId="8323" xr:uid="{8406EB96-2935-4D1E-9AF2-AF74F4E9DA8F}"/>
    <cellStyle name="Įprastas 5 2 2 2 2 3 3 5" xfId="6539" xr:uid="{9BE74752-6363-4B6F-95B3-77A952A90CD9}"/>
    <cellStyle name="Įprastas 5 2 2 2 2 3 3 6" xfId="3083" xr:uid="{3D74698E-6823-4901-9337-F0A4A7E3907B}"/>
    <cellStyle name="Įprastas 5 2 2 2 2 3 3_8 priedas" xfId="923" xr:uid="{00000000-0005-0000-0000-00003C000000}"/>
    <cellStyle name="Įprastas 5 2 2 2 2 3 4" xfId="544" xr:uid="{00000000-0005-0000-0000-00003D000000}"/>
    <cellStyle name="Įprastas 5 2 2 2 2 3 4 2" xfId="1360" xr:uid="{F3BC206F-B4B2-49C4-A7B6-65C213BB33DB}"/>
    <cellStyle name="Įprastas 5 2 2 2 2 3 4 2 2" xfId="6149" xr:uid="{FBC1C336-EF9C-4BDD-84C9-9BF969951EC2}"/>
    <cellStyle name="Įprastas 5 2 2 2 2 3 4 2 3" xfId="7877" xr:uid="{08B3B881-3ED9-4C25-B618-3AA7DEA36F6F}"/>
    <cellStyle name="Įprastas 5 2 2 2 2 3 4 2 4" xfId="4421" xr:uid="{181C3301-C33F-4213-9610-B5811E3AB126}"/>
    <cellStyle name="Įprastas 5 2 2 2 2 3 4 2_8 priedas" xfId="8325" xr:uid="{738CAEE8-BBCF-4317-AFDB-817752FBE39E}"/>
    <cellStyle name="Įprastas 5 2 2 2 2 3 4 3" xfId="2692" xr:uid="{84FA84E4-A4B6-4B5A-8769-B6730FDAEA5E}"/>
    <cellStyle name="Įprastas 5 2 2 2 2 3 4 3 2" xfId="5285" xr:uid="{F0B627CB-8158-428D-BD4E-41A91C0A0885}"/>
    <cellStyle name="Įprastas 5 2 2 2 2 3 4 3_8 priedas" xfId="8326" xr:uid="{1AA11D42-66A5-4DEB-8C6F-DBCB271F496C}"/>
    <cellStyle name="Įprastas 5 2 2 2 2 3 4 4" xfId="7013" xr:uid="{9C4B3606-EA36-4720-8B7D-3A324C6DD92C}"/>
    <cellStyle name="Įprastas 5 2 2 2 2 3 4 5" xfId="3557" xr:uid="{67D14813-897D-49BF-B1C5-0B87C7A9974D}"/>
    <cellStyle name="Įprastas 5 2 2 2 2 3 4_8 priedas" xfId="8324" xr:uid="{82E19E5D-946E-42FD-B306-22A652C185CB}"/>
    <cellStyle name="Įprastas 5 2 2 2 2 3 5" xfId="1361" xr:uid="{5A267ACB-55FE-4213-9A63-33985081C884}"/>
    <cellStyle name="Įprastas 5 2 2 2 2 3 5 2" xfId="5673" xr:uid="{62641EB3-17FB-493C-83B8-0E9C0DA52311}"/>
    <cellStyle name="Įprastas 5 2 2 2 2 3 5 3" xfId="7401" xr:uid="{306E02A0-FC9F-47B9-B121-A9C694036B16}"/>
    <cellStyle name="Įprastas 5 2 2 2 2 3 5 4" xfId="3945" xr:uid="{D40356FB-5A66-4231-93CB-D297BB4687A5}"/>
    <cellStyle name="Įprastas 5 2 2 2 2 3 5_8 priedas" xfId="8327" xr:uid="{4FFCCD77-F041-4589-A733-A3C412DE6D7E}"/>
    <cellStyle name="Įprastas 5 2 2 2 2 3 6" xfId="2216" xr:uid="{32D56E10-5616-4DF7-B6E8-CF02ED5AB865}"/>
    <cellStyle name="Įprastas 5 2 2 2 2 3 6 2" xfId="4809" xr:uid="{B48F4743-87AD-4C2C-B308-9720AC420799}"/>
    <cellStyle name="Įprastas 5 2 2 2 2 3 6_8 priedas" xfId="8328" xr:uid="{F4DB92D1-0FFE-4C1B-B03C-6B3BAB91FF35}"/>
    <cellStyle name="Įprastas 5 2 2 2 2 3 7" xfId="6537" xr:uid="{1C00EEB9-375B-4A40-80CA-B088039BD502}"/>
    <cellStyle name="Įprastas 5 2 2 2 2 3 8" xfId="3081" xr:uid="{542764E8-E18C-485A-8A59-89C633181BFF}"/>
    <cellStyle name="Įprastas 5 2 2 2 2 3_8 priedas" xfId="911" xr:uid="{00000000-0005-0000-0000-00003E000000}"/>
    <cellStyle name="Įprastas 5 2 2 2 2 4" xfId="51" xr:uid="{00000000-0005-0000-0000-00003F000000}"/>
    <cellStyle name="Įprastas 5 2 2 2 2 4 2" xfId="52" xr:uid="{00000000-0005-0000-0000-000040000000}"/>
    <cellStyle name="Įprastas 5 2 2 2 2 4 2 2" xfId="736" xr:uid="{00000000-0005-0000-0000-000041000000}"/>
    <cellStyle name="Įprastas 5 2 2 2 2 4 2 2 2" xfId="1362" xr:uid="{A2E207AB-0C5C-4636-B6B7-1B235EAEA865}"/>
    <cellStyle name="Įprastas 5 2 2 2 2 4 2 2 2 2" xfId="6341" xr:uid="{93CCBFE8-2025-4460-B6E7-0C0ED0815CB2}"/>
    <cellStyle name="Įprastas 5 2 2 2 2 4 2 2 2 3" xfId="8069" xr:uid="{61F8799D-D91A-4676-B0D9-E44AA24F8B68}"/>
    <cellStyle name="Įprastas 5 2 2 2 2 4 2 2 2 4" xfId="4613" xr:uid="{A0A93093-66F3-42C2-B9A4-B73B89863050}"/>
    <cellStyle name="Įprastas 5 2 2 2 2 4 2 2 2_8 priedas" xfId="8330" xr:uid="{11FC73A1-A20A-4916-8440-F539D7F71276}"/>
    <cellStyle name="Įprastas 5 2 2 2 2 4 2 2 3" xfId="2884" xr:uid="{C1C7C41A-8BDB-4C8D-ACEE-6BEE51AAF20C}"/>
    <cellStyle name="Įprastas 5 2 2 2 2 4 2 2 3 2" xfId="5477" xr:uid="{345E73FD-FA55-4DD5-8B53-F92394AC5CBA}"/>
    <cellStyle name="Įprastas 5 2 2 2 2 4 2 2 3_8 priedas" xfId="8331" xr:uid="{F87EE9D3-F579-4B1A-A07D-AF1796F6CC86}"/>
    <cellStyle name="Įprastas 5 2 2 2 2 4 2 2 4" xfId="7205" xr:uid="{607088F3-6EAF-4DC5-956F-9ECDD23D2A73}"/>
    <cellStyle name="Įprastas 5 2 2 2 2 4 2 2 5" xfId="3749" xr:uid="{A42F781A-9070-4F0B-B817-CC7E45DBDAD0}"/>
    <cellStyle name="Įprastas 5 2 2 2 2 4 2 2_8 priedas" xfId="8329" xr:uid="{F72D94EA-66A0-43A7-AAEE-3DD639A9343A}"/>
    <cellStyle name="Įprastas 5 2 2 2 2 4 2 3" xfId="1363" xr:uid="{660DDFD3-130F-4955-BF9D-685AA1937D4C}"/>
    <cellStyle name="Įprastas 5 2 2 2 2 4 2 3 2" xfId="5677" xr:uid="{0B00AFA4-8530-4480-A986-6A43C24A256F}"/>
    <cellStyle name="Įprastas 5 2 2 2 2 4 2 3 3" xfId="7405" xr:uid="{E47BFCCA-9E40-4FF0-8514-5324FF2AA8EE}"/>
    <cellStyle name="Įprastas 5 2 2 2 2 4 2 3 4" xfId="3949" xr:uid="{03E8C3DB-91BB-4B03-AD70-E6864A2E29A5}"/>
    <cellStyle name="Įprastas 5 2 2 2 2 4 2 3_8 priedas" xfId="8332" xr:uid="{C1EB4052-F90C-420D-B38A-42ABB1784034}"/>
    <cellStyle name="Įprastas 5 2 2 2 2 4 2 4" xfId="2220" xr:uid="{A5052E37-D913-429F-83CB-F6CA91F0668B}"/>
    <cellStyle name="Įprastas 5 2 2 2 2 4 2 4 2" xfId="4813" xr:uid="{B2D7CBB5-07EB-4AE1-8CB6-19D959EBBFFB}"/>
    <cellStyle name="Įprastas 5 2 2 2 2 4 2 4_8 priedas" xfId="8333" xr:uid="{07623C52-519C-4380-B5B6-927A9E4A74FD}"/>
    <cellStyle name="Įprastas 5 2 2 2 2 4 2 5" xfId="6541" xr:uid="{F6988106-2645-460E-B199-3C513C771423}"/>
    <cellStyle name="Įprastas 5 2 2 2 2 4 2 6" xfId="3085" xr:uid="{1BDFA1D1-746E-4607-B4A5-2F284F5AB7DD}"/>
    <cellStyle name="Įprastas 5 2 2 2 2 4 2_8 priedas" xfId="1278" xr:uid="{00000000-0005-0000-0000-000042000000}"/>
    <cellStyle name="Įprastas 5 2 2 2 2 4 3" xfId="53" xr:uid="{00000000-0005-0000-0000-000043000000}"/>
    <cellStyle name="Įprastas 5 2 2 2 2 4 3 2" xfId="880" xr:uid="{00000000-0005-0000-0000-000044000000}"/>
    <cellStyle name="Įprastas 5 2 2 2 2 4 3 2 2" xfId="1364" xr:uid="{C5B22AF4-4022-4568-9048-A03B769BEC83}"/>
    <cellStyle name="Įprastas 5 2 2 2 2 4 3 2 2 2" xfId="6485" xr:uid="{17936627-F5CE-46FD-80A2-F4B76CE6A798}"/>
    <cellStyle name="Įprastas 5 2 2 2 2 4 3 2 2 3" xfId="8213" xr:uid="{37818CE8-BE01-4D1A-B6C6-5078046820EF}"/>
    <cellStyle name="Įprastas 5 2 2 2 2 4 3 2 2 4" xfId="4757" xr:uid="{59DA9BB3-D9EA-47F6-88CD-405F6192CE22}"/>
    <cellStyle name="Įprastas 5 2 2 2 2 4 3 2 2_8 priedas" xfId="8335" xr:uid="{338F1A21-915C-4A1D-8ABC-70B24D4AFC60}"/>
    <cellStyle name="Įprastas 5 2 2 2 2 4 3 2 3" xfId="3028" xr:uid="{DA233440-804B-4A35-A601-56117A504354}"/>
    <cellStyle name="Įprastas 5 2 2 2 2 4 3 2 3 2" xfId="5621" xr:uid="{65429B76-E7EB-45C7-92EA-837AB1165A35}"/>
    <cellStyle name="Įprastas 5 2 2 2 2 4 3 2 3_8 priedas" xfId="8336" xr:uid="{FBCFCB62-E414-43CF-8641-29A2B5FCC283}"/>
    <cellStyle name="Įprastas 5 2 2 2 2 4 3 2 4" xfId="7349" xr:uid="{16BEA517-4869-49C2-95B8-39D484BE9FE4}"/>
    <cellStyle name="Įprastas 5 2 2 2 2 4 3 2 5" xfId="3893" xr:uid="{3582F373-580F-414E-BE95-EB18C31556C9}"/>
    <cellStyle name="Įprastas 5 2 2 2 2 4 3 2_8 priedas" xfId="8334" xr:uid="{A0C5640F-A8EE-40D9-9E10-BAF2353695B6}"/>
    <cellStyle name="Įprastas 5 2 2 2 2 4 3 3" xfId="1365" xr:uid="{8755BC2E-27DC-4F51-8BDD-F51C8E409893}"/>
    <cellStyle name="Įprastas 5 2 2 2 2 4 3 3 2" xfId="5678" xr:uid="{EEC0D164-2DBA-4972-8298-D97E349956AF}"/>
    <cellStyle name="Įprastas 5 2 2 2 2 4 3 3 3" xfId="7406" xr:uid="{124C6802-7998-404D-B690-5DC9B41015FC}"/>
    <cellStyle name="Įprastas 5 2 2 2 2 4 3 3 4" xfId="3950" xr:uid="{8D55914A-3E08-4BD2-84FA-5A0EE683A3FA}"/>
    <cellStyle name="Įprastas 5 2 2 2 2 4 3 3_8 priedas" xfId="8337" xr:uid="{302F8F7C-5617-45FC-B578-7D45B21BFF4A}"/>
    <cellStyle name="Įprastas 5 2 2 2 2 4 3 4" xfId="2221" xr:uid="{B021073D-CD8D-49BA-BCD6-084174D5AAF4}"/>
    <cellStyle name="Įprastas 5 2 2 2 2 4 3 4 2" xfId="4814" xr:uid="{6BC04520-2AFA-467E-9338-2C3FA2546176}"/>
    <cellStyle name="Įprastas 5 2 2 2 2 4 3 4_8 priedas" xfId="8338" xr:uid="{B8E5CDE9-6871-46C8-8ECD-9859DB28EB1A}"/>
    <cellStyle name="Įprastas 5 2 2 2 2 4 3 5" xfId="6542" xr:uid="{0919FDB4-7DC0-45FF-983C-F1CFBFFE254C}"/>
    <cellStyle name="Įprastas 5 2 2 2 2 4 3 6" xfId="3086" xr:uid="{CA329EB3-5FE5-4875-A976-30621E3C8111}"/>
    <cellStyle name="Įprastas 5 2 2 2 2 4 3_8 priedas" xfId="1142" xr:uid="{00000000-0005-0000-0000-000045000000}"/>
    <cellStyle name="Įprastas 5 2 2 2 2 4 4" xfId="592" xr:uid="{00000000-0005-0000-0000-000046000000}"/>
    <cellStyle name="Įprastas 5 2 2 2 2 4 4 2" xfId="1366" xr:uid="{B96C0B42-BB71-437A-BA50-4437031B5A05}"/>
    <cellStyle name="Įprastas 5 2 2 2 2 4 4 2 2" xfId="6197" xr:uid="{C54AC3C3-8340-41FC-9E26-3BDA7D64D69F}"/>
    <cellStyle name="Įprastas 5 2 2 2 2 4 4 2 3" xfId="7925" xr:uid="{6F0FD89B-9980-4A63-91E5-C97E8889E9D8}"/>
    <cellStyle name="Įprastas 5 2 2 2 2 4 4 2 4" xfId="4469" xr:uid="{566149EA-EF2D-4D13-B357-7BC42FF62C44}"/>
    <cellStyle name="Įprastas 5 2 2 2 2 4 4 2_8 priedas" xfId="8340" xr:uid="{B8481CC5-6F31-45F8-876A-3A819C2790A7}"/>
    <cellStyle name="Įprastas 5 2 2 2 2 4 4 3" xfId="2740" xr:uid="{73F91A7E-7A74-4BF0-B70B-AFA49E52D015}"/>
    <cellStyle name="Įprastas 5 2 2 2 2 4 4 3 2" xfId="5333" xr:uid="{2EE1FCFD-44C6-49E1-AC79-A4AD7A0AE87E}"/>
    <cellStyle name="Įprastas 5 2 2 2 2 4 4 3_8 priedas" xfId="8341" xr:uid="{63CFA2CA-3FBC-4FB1-851D-9E782D9A50CA}"/>
    <cellStyle name="Įprastas 5 2 2 2 2 4 4 4" xfId="7061" xr:uid="{323E6563-570F-4DC1-B119-5C1457400A23}"/>
    <cellStyle name="Įprastas 5 2 2 2 2 4 4 5" xfId="3605" xr:uid="{E1AC3C94-643B-494D-9484-81B34EC01E3C}"/>
    <cellStyle name="Įprastas 5 2 2 2 2 4 4_8 priedas" xfId="8339" xr:uid="{AFBF6863-72AD-4D15-BCB0-BCD0142FEAC7}"/>
    <cellStyle name="Įprastas 5 2 2 2 2 4 5" xfId="1367" xr:uid="{D0303D19-A05E-4DDB-B43F-DD03D763A52A}"/>
    <cellStyle name="Įprastas 5 2 2 2 2 4 5 2" xfId="5676" xr:uid="{1E0B9087-B973-431A-94F6-57F35DFB1156}"/>
    <cellStyle name="Įprastas 5 2 2 2 2 4 5 3" xfId="7404" xr:uid="{D928782E-704D-4D50-9C6F-18BC708E1AD7}"/>
    <cellStyle name="Įprastas 5 2 2 2 2 4 5 4" xfId="3948" xr:uid="{DF141535-C839-46E6-ACFA-FB43D0D05028}"/>
    <cellStyle name="Įprastas 5 2 2 2 2 4 5_8 priedas" xfId="8342" xr:uid="{0D7A03D9-E82B-427C-99BC-068D3BEC9CFC}"/>
    <cellStyle name="Įprastas 5 2 2 2 2 4 6" xfId="2219" xr:uid="{32196DC4-6647-4E4F-B5DA-6EABF7E2C744}"/>
    <cellStyle name="Įprastas 5 2 2 2 2 4 6 2" xfId="4812" xr:uid="{1932DAA1-BCBA-4FDC-BECC-9546871D633C}"/>
    <cellStyle name="Įprastas 5 2 2 2 2 4 6_8 priedas" xfId="8343" xr:uid="{B018290A-B21F-4819-8F2A-57DFA989D9D7}"/>
    <cellStyle name="Įprastas 5 2 2 2 2 4 7" xfId="6540" xr:uid="{DE22E39D-DB9E-434D-BFB0-4A4E5A6D70A9}"/>
    <cellStyle name="Įprastas 5 2 2 2 2 4 8" xfId="3084" xr:uid="{EAD269A7-F970-48AD-84E6-3EDC5E1FAF7A}"/>
    <cellStyle name="Įprastas 5 2 2 2 2 4_8 priedas" xfId="907" xr:uid="{00000000-0005-0000-0000-000047000000}"/>
    <cellStyle name="Įprastas 5 2 2 2 2 5" xfId="54" xr:uid="{00000000-0005-0000-0000-000048000000}"/>
    <cellStyle name="Įprastas 5 2 2 2 2 5 2" xfId="640" xr:uid="{00000000-0005-0000-0000-000049000000}"/>
    <cellStyle name="Įprastas 5 2 2 2 2 5 2 2" xfId="1368" xr:uid="{7E4FCAF5-AE67-4609-AFF6-650590B73CBD}"/>
    <cellStyle name="Įprastas 5 2 2 2 2 5 2 2 2" xfId="6245" xr:uid="{5D61BAD2-138B-4132-BCF2-B3077BBB199A}"/>
    <cellStyle name="Įprastas 5 2 2 2 2 5 2 2 3" xfId="7973" xr:uid="{7F7FB5A5-B456-4169-9288-93B5670ADA0F}"/>
    <cellStyle name="Įprastas 5 2 2 2 2 5 2 2 4" xfId="4517" xr:uid="{F0AE4343-AE79-464D-9BBE-87101340C8B7}"/>
    <cellStyle name="Įprastas 5 2 2 2 2 5 2 2_8 priedas" xfId="8345" xr:uid="{220857A2-DDF7-407B-8713-A81780344705}"/>
    <cellStyle name="Įprastas 5 2 2 2 2 5 2 3" xfId="2788" xr:uid="{BA53EF97-401C-43D8-BC49-371CD1F38AEC}"/>
    <cellStyle name="Įprastas 5 2 2 2 2 5 2 3 2" xfId="5381" xr:uid="{A748A95D-CC0C-4401-ABFC-AC6F915FD810}"/>
    <cellStyle name="Įprastas 5 2 2 2 2 5 2 3_8 priedas" xfId="8346" xr:uid="{32559F07-BF5F-4039-BE58-757AB8B10A42}"/>
    <cellStyle name="Įprastas 5 2 2 2 2 5 2 4" xfId="7109" xr:uid="{B512E743-BCE6-4790-8BFE-3A736780E9A1}"/>
    <cellStyle name="Įprastas 5 2 2 2 2 5 2 5" xfId="3653" xr:uid="{94BB5271-1F54-4BEE-BBD4-3CA7DB28EA72}"/>
    <cellStyle name="Įprastas 5 2 2 2 2 5 2_8 priedas" xfId="8344" xr:uid="{5541F11E-83FF-4213-935E-8C43BF29EAB3}"/>
    <cellStyle name="Įprastas 5 2 2 2 2 5 3" xfId="1369" xr:uid="{921D0E4C-DD09-4589-9BD5-400E78467B6E}"/>
    <cellStyle name="Įprastas 5 2 2 2 2 5 3 2" xfId="5679" xr:uid="{8D01E674-C734-4BCA-A18F-F2AD44F9BD5A}"/>
    <cellStyle name="Įprastas 5 2 2 2 2 5 3 3" xfId="7407" xr:uid="{0CE87EB4-2856-4230-9EE0-36A70CB3338F}"/>
    <cellStyle name="Įprastas 5 2 2 2 2 5 3 4" xfId="3951" xr:uid="{ACA99D7D-475E-44C2-92CC-DC08768F43E2}"/>
    <cellStyle name="Įprastas 5 2 2 2 2 5 3_8 priedas" xfId="8347" xr:uid="{B5A0C411-2012-4FBF-93DA-6F2301B78173}"/>
    <cellStyle name="Įprastas 5 2 2 2 2 5 4" xfId="2222" xr:uid="{A660C256-07EE-4B19-B1B0-49DA4C10B4B7}"/>
    <cellStyle name="Įprastas 5 2 2 2 2 5 4 2" xfId="4815" xr:uid="{91093757-B874-49E8-8E5B-CE9E5E7A0205}"/>
    <cellStyle name="Įprastas 5 2 2 2 2 5 4_8 priedas" xfId="8348" xr:uid="{B36B5DE8-F029-4169-A2D7-F8E8D22E4B17}"/>
    <cellStyle name="Įprastas 5 2 2 2 2 5 5" xfId="6543" xr:uid="{ED846E9E-1F4F-40B6-A46D-BD662CAE2894}"/>
    <cellStyle name="Įprastas 5 2 2 2 2 5 6" xfId="3087" xr:uid="{F7B594E7-9597-40BD-B890-25520EFFF1A1}"/>
    <cellStyle name="Įprastas 5 2 2 2 2 5_8 priedas" xfId="1006" xr:uid="{00000000-0005-0000-0000-00004A000000}"/>
    <cellStyle name="Įprastas 5 2 2 2 2 6" xfId="55" xr:uid="{00000000-0005-0000-0000-00004B000000}"/>
    <cellStyle name="Įprastas 5 2 2 2 2 6 2" xfId="784" xr:uid="{00000000-0005-0000-0000-00004C000000}"/>
    <cellStyle name="Įprastas 5 2 2 2 2 6 2 2" xfId="1370" xr:uid="{0CCDC5B1-24C4-4D82-9DB2-E3CC6112CF31}"/>
    <cellStyle name="Įprastas 5 2 2 2 2 6 2 2 2" xfId="6389" xr:uid="{5EEF9A54-E2E3-4A46-871E-762F2B2CD65F}"/>
    <cellStyle name="Įprastas 5 2 2 2 2 6 2 2 3" xfId="8117" xr:uid="{52CC4C99-479E-430C-B759-E960E726EA29}"/>
    <cellStyle name="Įprastas 5 2 2 2 2 6 2 2 4" xfId="4661" xr:uid="{CA34BAD8-7CC1-4D7E-928C-512B9A32DD8F}"/>
    <cellStyle name="Įprastas 5 2 2 2 2 6 2 2_8 priedas" xfId="8350" xr:uid="{4AFFA5D6-C7A6-43DA-BAE5-BC477BB8895C}"/>
    <cellStyle name="Įprastas 5 2 2 2 2 6 2 3" xfId="2932" xr:uid="{4A88AACE-6B1B-41A1-BA5E-8765431E1FBB}"/>
    <cellStyle name="Įprastas 5 2 2 2 2 6 2 3 2" xfId="5525" xr:uid="{D0C30A26-8C09-4100-97C4-216147C280D2}"/>
    <cellStyle name="Įprastas 5 2 2 2 2 6 2 3_8 priedas" xfId="8351" xr:uid="{F72AFFED-0FBC-4C10-8FBB-7C0497DB8E66}"/>
    <cellStyle name="Įprastas 5 2 2 2 2 6 2 4" xfId="7253" xr:uid="{BC317782-9D1F-4FD6-AE84-4DEE1BD99F33}"/>
    <cellStyle name="Įprastas 5 2 2 2 2 6 2 5" xfId="3797" xr:uid="{C8FA84E7-F87D-44F0-AE9A-00C02CEF6D90}"/>
    <cellStyle name="Įprastas 5 2 2 2 2 6 2_8 priedas" xfId="8349" xr:uid="{7B39C48D-A0C8-4148-AE61-B3FD3ECD2595}"/>
    <cellStyle name="Įprastas 5 2 2 2 2 6 3" xfId="1371" xr:uid="{572CEFE5-BD75-47AD-AF34-15FD2597933C}"/>
    <cellStyle name="Įprastas 5 2 2 2 2 6 3 2" xfId="5680" xr:uid="{B26E8472-B8C4-4B7D-A3B2-65BFDC74F247}"/>
    <cellStyle name="Įprastas 5 2 2 2 2 6 3 3" xfId="7408" xr:uid="{F83E0230-55B3-4705-BC52-3806D207F13E}"/>
    <cellStyle name="Įprastas 5 2 2 2 2 6 3 4" xfId="3952" xr:uid="{27D74D38-9177-4DE4-AD36-23CD657F1DDF}"/>
    <cellStyle name="Įprastas 5 2 2 2 2 6 3_8 priedas" xfId="8352" xr:uid="{48D91751-9632-4838-A333-D8B0E92EAB77}"/>
    <cellStyle name="Įprastas 5 2 2 2 2 6 4" xfId="2223" xr:uid="{1F1FF628-D529-4BBF-B500-504CDF8E45EB}"/>
    <cellStyle name="Įprastas 5 2 2 2 2 6 4 2" xfId="4816" xr:uid="{8FC511D8-3CEB-4FD3-A70D-551BA32CEA47}"/>
    <cellStyle name="Įprastas 5 2 2 2 2 6 4_8 priedas" xfId="8353" xr:uid="{3B29F116-1292-47FB-82B8-21D8BB1ACA5B}"/>
    <cellStyle name="Įprastas 5 2 2 2 2 6 5" xfId="6544" xr:uid="{4F0E39B0-34CE-45E5-8B4A-51776089A054}"/>
    <cellStyle name="Įprastas 5 2 2 2 2 6 6" xfId="3088" xr:uid="{37218437-FFF4-4839-B92F-F08386CD7E35}"/>
    <cellStyle name="Įprastas 5 2 2 2 2 6_8 priedas" xfId="1232" xr:uid="{00000000-0005-0000-0000-00004D000000}"/>
    <cellStyle name="Įprastas 5 2 2 2 2 7" xfId="496" xr:uid="{00000000-0005-0000-0000-00004E000000}"/>
    <cellStyle name="Įprastas 5 2 2 2 2 7 2" xfId="1372" xr:uid="{74DB1EF4-DA0A-4174-B300-A2A123C919CA}"/>
    <cellStyle name="Įprastas 5 2 2 2 2 7 2 2" xfId="6101" xr:uid="{77F9EB78-6FDF-4C8D-96BA-D2CCF81BA03F}"/>
    <cellStyle name="Įprastas 5 2 2 2 2 7 2 3" xfId="7829" xr:uid="{26225E8B-5FA6-44E1-AD09-6D471E68DC70}"/>
    <cellStyle name="Įprastas 5 2 2 2 2 7 2 4" xfId="4373" xr:uid="{DF4ACD27-5DF0-4C61-9A9E-ABC04D5B6F06}"/>
    <cellStyle name="Įprastas 5 2 2 2 2 7 2_8 priedas" xfId="8355" xr:uid="{DD44D8DD-E65A-40DA-8A13-188D32C55B05}"/>
    <cellStyle name="Įprastas 5 2 2 2 2 7 3" xfId="2644" xr:uid="{B1EC6FB4-7C2E-4197-BE2C-6ADCDA14A899}"/>
    <cellStyle name="Įprastas 5 2 2 2 2 7 3 2" xfId="5237" xr:uid="{360C195B-FAA2-4933-81F7-53D3CEDEB5B8}"/>
    <cellStyle name="Įprastas 5 2 2 2 2 7 3_8 priedas" xfId="8356" xr:uid="{898CFFAB-8A60-4A13-9F49-F76113E71A01}"/>
    <cellStyle name="Įprastas 5 2 2 2 2 7 4" xfId="6965" xr:uid="{27D78D6F-BF99-494C-B9A5-5BC7D3B8C278}"/>
    <cellStyle name="Įprastas 5 2 2 2 2 7 5" xfId="3509" xr:uid="{B4696395-DCC9-47A1-B8D5-BCB6B33D5F96}"/>
    <cellStyle name="Įprastas 5 2 2 2 2 7_8 priedas" xfId="8354" xr:uid="{2C6F7867-B8CE-44F7-BA19-7942A572569A}"/>
    <cellStyle name="Įprastas 5 2 2 2 2 8" xfId="1373" xr:uid="{43AFB09C-5110-4808-98DB-131FBCFADD64}"/>
    <cellStyle name="Įprastas 5 2 2 2 2 8 2" xfId="5663" xr:uid="{D2343A65-54DD-4378-B57F-12000A935DE0}"/>
    <cellStyle name="Įprastas 5 2 2 2 2 8 3" xfId="7391" xr:uid="{1AD43203-3493-40BD-8CA2-5FB7C1D5AB90}"/>
    <cellStyle name="Įprastas 5 2 2 2 2 8 4" xfId="3935" xr:uid="{BC943A90-692D-4D3C-A23B-8D032A2AA303}"/>
    <cellStyle name="Įprastas 5 2 2 2 2 8_8 priedas" xfId="8357" xr:uid="{58E2E413-429D-40D4-86EA-8BA4FEE64CB6}"/>
    <cellStyle name="Įprastas 5 2 2 2 2 9" xfId="2206" xr:uid="{F4E81F82-2F28-469E-99C8-107A8F69603D}"/>
    <cellStyle name="Įprastas 5 2 2 2 2 9 2" xfId="4799" xr:uid="{9676B259-8104-462D-AEC8-7E9DACF894F5}"/>
    <cellStyle name="Įprastas 5 2 2 2 2 9_8 priedas" xfId="8358" xr:uid="{166FA381-08EE-4573-AEC1-8F3B6A55E0DF}"/>
    <cellStyle name="Įprastas 5 2 2 2 2_8 priedas" xfId="972" xr:uid="{00000000-0005-0000-0000-00004F000000}"/>
    <cellStyle name="Įprastas 5 2 2 2 3" xfId="56" xr:uid="{00000000-0005-0000-0000-000050000000}"/>
    <cellStyle name="Įprastas 5 2 2 2 3 10" xfId="3089" xr:uid="{B65BB7E1-C7A8-432C-B255-04A47BD02791}"/>
    <cellStyle name="Įprastas 5 2 2 2 3 2" xfId="57" xr:uid="{00000000-0005-0000-0000-000051000000}"/>
    <cellStyle name="Įprastas 5 2 2 2 3 2 2" xfId="58" xr:uid="{00000000-0005-0000-0000-000052000000}"/>
    <cellStyle name="Įprastas 5 2 2 2 3 2 2 2" xfId="700" xr:uid="{00000000-0005-0000-0000-000053000000}"/>
    <cellStyle name="Įprastas 5 2 2 2 3 2 2 2 2" xfId="1374" xr:uid="{C73D19A5-ACF3-497B-9BD0-55D67384A569}"/>
    <cellStyle name="Įprastas 5 2 2 2 3 2 2 2 2 2" xfId="6305" xr:uid="{710349E9-31F9-4FB4-B5F8-BD5B3CB6F807}"/>
    <cellStyle name="Įprastas 5 2 2 2 3 2 2 2 2 3" xfId="8033" xr:uid="{614BC7D3-EACC-437F-9AA6-A29CDAE9AB80}"/>
    <cellStyle name="Įprastas 5 2 2 2 3 2 2 2 2 4" xfId="4577" xr:uid="{28D9501C-582A-4AF9-9364-F0C695732496}"/>
    <cellStyle name="Įprastas 5 2 2 2 3 2 2 2 2_8 priedas" xfId="8360" xr:uid="{BBB30EB3-728B-45D6-9F0B-C10AAEA0C103}"/>
    <cellStyle name="Įprastas 5 2 2 2 3 2 2 2 3" xfId="2848" xr:uid="{FE733E6A-6CCD-4E62-8646-524016E7B3B6}"/>
    <cellStyle name="Įprastas 5 2 2 2 3 2 2 2 3 2" xfId="5441" xr:uid="{98105792-2703-402A-BFCF-E98E6231D298}"/>
    <cellStyle name="Įprastas 5 2 2 2 3 2 2 2 3_8 priedas" xfId="8361" xr:uid="{63872551-67D5-4DAE-B4BF-E26B6BBAFF44}"/>
    <cellStyle name="Įprastas 5 2 2 2 3 2 2 2 4" xfId="7169" xr:uid="{F5255C93-36E7-47AF-A1E2-4DBB37953F2D}"/>
    <cellStyle name="Įprastas 5 2 2 2 3 2 2 2 5" xfId="3713" xr:uid="{22A0C406-771E-4F2C-A854-61644A5DA0F8}"/>
    <cellStyle name="Įprastas 5 2 2 2 3 2 2 2_8 priedas" xfId="8359" xr:uid="{380F8F58-398A-4378-AEA6-C437560EFCE3}"/>
    <cellStyle name="Įprastas 5 2 2 2 3 2 2 3" xfId="1375" xr:uid="{AFA0E8C7-A7EB-4715-9B45-8D7AC0582D1E}"/>
    <cellStyle name="Įprastas 5 2 2 2 3 2 2 3 2" xfId="5683" xr:uid="{AA20267E-21E4-4AEB-AD49-339FA6FE092E}"/>
    <cellStyle name="Įprastas 5 2 2 2 3 2 2 3 3" xfId="7411" xr:uid="{58B19772-035B-4770-A702-767B644D720D}"/>
    <cellStyle name="Įprastas 5 2 2 2 3 2 2 3 4" xfId="3955" xr:uid="{C16715E2-2A4A-4ECF-86CD-844C1FA249FC}"/>
    <cellStyle name="Įprastas 5 2 2 2 3 2 2 3_8 priedas" xfId="8362" xr:uid="{7A8C6F53-7A27-43EC-BDD6-D6C54662B997}"/>
    <cellStyle name="Įprastas 5 2 2 2 3 2 2 4" xfId="2226" xr:uid="{66A36882-93DB-4E8A-9EB2-FA41077A965E}"/>
    <cellStyle name="Įprastas 5 2 2 2 3 2 2 4 2" xfId="4819" xr:uid="{841CD20C-69C2-4E36-BF47-4216C8D327BC}"/>
    <cellStyle name="Įprastas 5 2 2 2 3 2 2 4_8 priedas" xfId="8363" xr:uid="{AA18524E-5F78-4F89-8F50-166B95DD30F0}"/>
    <cellStyle name="Įprastas 5 2 2 2 3 2 2 5" xfId="6547" xr:uid="{4C2FDC93-5AC0-46B7-9ED8-CD0E603DB0A1}"/>
    <cellStyle name="Įprastas 5 2 2 2 3 2 2 6" xfId="3091" xr:uid="{A2C13FBB-681F-401D-831E-366CB47A974B}"/>
    <cellStyle name="Įprastas 5 2 2 2 3 2 2_8 priedas" xfId="1213" xr:uid="{00000000-0005-0000-0000-000054000000}"/>
    <cellStyle name="Įprastas 5 2 2 2 3 2 3" xfId="59" xr:uid="{00000000-0005-0000-0000-000055000000}"/>
    <cellStyle name="Įprastas 5 2 2 2 3 2 3 2" xfId="844" xr:uid="{00000000-0005-0000-0000-000056000000}"/>
    <cellStyle name="Įprastas 5 2 2 2 3 2 3 2 2" xfId="1376" xr:uid="{0E60FA9E-6E5B-4541-A1CC-E4FE527ECF9B}"/>
    <cellStyle name="Įprastas 5 2 2 2 3 2 3 2 2 2" xfId="6449" xr:uid="{50EE541F-2EFF-4C45-9F66-517BD7A8143B}"/>
    <cellStyle name="Įprastas 5 2 2 2 3 2 3 2 2 3" xfId="8177" xr:uid="{0E048A1D-C199-44B1-8E33-86DB59FA969D}"/>
    <cellStyle name="Įprastas 5 2 2 2 3 2 3 2 2 4" xfId="4721" xr:uid="{BFDBCEA9-5038-4BC3-AD1B-5489BC436FEC}"/>
    <cellStyle name="Įprastas 5 2 2 2 3 2 3 2 2_8 priedas" xfId="8365" xr:uid="{25A1FDB6-D627-4908-9AE1-AB5FFA5D9BEA}"/>
    <cellStyle name="Įprastas 5 2 2 2 3 2 3 2 3" xfId="2992" xr:uid="{C91B192C-B204-4F23-A05D-1D8C90A7C16D}"/>
    <cellStyle name="Įprastas 5 2 2 2 3 2 3 2 3 2" xfId="5585" xr:uid="{1E01BF31-5B27-4533-AFAF-00140C2B3ACB}"/>
    <cellStyle name="Įprastas 5 2 2 2 3 2 3 2 3_8 priedas" xfId="8366" xr:uid="{DAC70709-E767-42C9-8C5A-C98F1217B0C8}"/>
    <cellStyle name="Įprastas 5 2 2 2 3 2 3 2 4" xfId="7313" xr:uid="{082CE7A0-8C7D-41EC-9BF4-6F62648BC01F}"/>
    <cellStyle name="Įprastas 5 2 2 2 3 2 3 2 5" xfId="3857" xr:uid="{33A60E2F-0D3F-437A-8897-F678E16DDA32}"/>
    <cellStyle name="Įprastas 5 2 2 2 3 2 3 2_8 priedas" xfId="8364" xr:uid="{48F234B8-1918-4B5F-B508-FDCC9F5409EB}"/>
    <cellStyle name="Įprastas 5 2 2 2 3 2 3 3" xfId="1377" xr:uid="{9D922830-81B3-48AE-9C7F-8CB4FCB37B8B}"/>
    <cellStyle name="Įprastas 5 2 2 2 3 2 3 3 2" xfId="5684" xr:uid="{317C97F5-F209-4C93-B04D-4ECBFF21D8ED}"/>
    <cellStyle name="Įprastas 5 2 2 2 3 2 3 3 3" xfId="7412" xr:uid="{07ABF708-7D35-49CE-B111-02AC88B471E9}"/>
    <cellStyle name="Įprastas 5 2 2 2 3 2 3 3 4" xfId="3956" xr:uid="{94A24C43-B5A7-424E-A836-81FB77BAE59A}"/>
    <cellStyle name="Įprastas 5 2 2 2 3 2 3 3_8 priedas" xfId="8367" xr:uid="{6D7411B5-BE4D-42C5-9277-070E7EA6B6E5}"/>
    <cellStyle name="Įprastas 5 2 2 2 3 2 3 4" xfId="2227" xr:uid="{27F820CE-792B-40F1-8C8E-50518010B0EA}"/>
    <cellStyle name="Įprastas 5 2 2 2 3 2 3 4 2" xfId="4820" xr:uid="{7CE1EA98-F401-455C-872C-67DCDB6DAB50}"/>
    <cellStyle name="Įprastas 5 2 2 2 3 2 3 4_8 priedas" xfId="8368" xr:uid="{0598DFA6-283C-4BE9-B59F-01020B04B07E}"/>
    <cellStyle name="Įprastas 5 2 2 2 3 2 3 5" xfId="6548" xr:uid="{70A2A2F6-CA98-4377-A484-746B15077924}"/>
    <cellStyle name="Įprastas 5 2 2 2 3 2 3 6" xfId="3092" xr:uid="{FC497E0A-BD0E-48D1-96A9-8B833EC61474}"/>
    <cellStyle name="Įprastas 5 2 2 2 3 2 3_8 priedas" xfId="1079" xr:uid="{00000000-0005-0000-0000-000057000000}"/>
    <cellStyle name="Įprastas 5 2 2 2 3 2 4" xfId="556" xr:uid="{00000000-0005-0000-0000-000058000000}"/>
    <cellStyle name="Įprastas 5 2 2 2 3 2 4 2" xfId="1378" xr:uid="{34E922FF-8A19-4A20-9AC7-5E02177429DC}"/>
    <cellStyle name="Įprastas 5 2 2 2 3 2 4 2 2" xfId="6161" xr:uid="{DE69BDA5-9F6A-426C-A0A4-ABA769C1EABE}"/>
    <cellStyle name="Įprastas 5 2 2 2 3 2 4 2 3" xfId="7889" xr:uid="{DE3578E4-CDE4-443E-81B2-5E0D991F6FFF}"/>
    <cellStyle name="Įprastas 5 2 2 2 3 2 4 2 4" xfId="4433" xr:uid="{7C4E8F34-201E-4AD8-A91B-6BC76ED1AAC8}"/>
    <cellStyle name="Įprastas 5 2 2 2 3 2 4 2_8 priedas" xfId="8370" xr:uid="{9B7E0552-85AB-49B7-BE66-ED06F9FC5074}"/>
    <cellStyle name="Įprastas 5 2 2 2 3 2 4 3" xfId="2704" xr:uid="{36D3FD64-B2B1-4F08-BC2D-9A7E3528A54C}"/>
    <cellStyle name="Įprastas 5 2 2 2 3 2 4 3 2" xfId="5297" xr:uid="{95CCC669-7C0A-4E2C-8F5C-FF98725316B2}"/>
    <cellStyle name="Įprastas 5 2 2 2 3 2 4 3_8 priedas" xfId="8371" xr:uid="{AB84939D-001E-432B-B66C-586E5EDB4952}"/>
    <cellStyle name="Įprastas 5 2 2 2 3 2 4 4" xfId="7025" xr:uid="{325C2FC2-9FB2-40A7-AA5E-799188FFE5AF}"/>
    <cellStyle name="Įprastas 5 2 2 2 3 2 4 5" xfId="3569" xr:uid="{3B99A5E3-A5C2-48EF-9546-FC16136A7FDB}"/>
    <cellStyle name="Įprastas 5 2 2 2 3 2 4_8 priedas" xfId="8369" xr:uid="{5454FEC2-7DF9-466F-B165-919FDF66F377}"/>
    <cellStyle name="Įprastas 5 2 2 2 3 2 5" xfId="1379" xr:uid="{774D29C0-83EB-4501-9274-C99DFC083293}"/>
    <cellStyle name="Įprastas 5 2 2 2 3 2 5 2" xfId="5682" xr:uid="{890FD853-3194-447C-9C01-AFB0F3A598B0}"/>
    <cellStyle name="Įprastas 5 2 2 2 3 2 5 3" xfId="7410" xr:uid="{E567E07F-61A9-4B28-BA19-749D5AA39FB7}"/>
    <cellStyle name="Įprastas 5 2 2 2 3 2 5 4" xfId="3954" xr:uid="{D2C96CEC-B219-4918-8AC3-A60C8772CCD1}"/>
    <cellStyle name="Įprastas 5 2 2 2 3 2 5_8 priedas" xfId="8372" xr:uid="{A9503FC1-27DC-43BA-9F7B-980AA20819E7}"/>
    <cellStyle name="Įprastas 5 2 2 2 3 2 6" xfId="2225" xr:uid="{EADB69B8-3594-4093-9B47-F2E42B9C7797}"/>
    <cellStyle name="Įprastas 5 2 2 2 3 2 6 2" xfId="4818" xr:uid="{3102B108-C5DE-41C1-B73E-7182C2225AE6}"/>
    <cellStyle name="Įprastas 5 2 2 2 3 2 6_8 priedas" xfId="8373" xr:uid="{1CD6F4B8-4191-4A61-9E8C-D16A6F7AFCC9}"/>
    <cellStyle name="Įprastas 5 2 2 2 3 2 7" xfId="6546" xr:uid="{7E1D10E3-B090-4D0E-AD35-A95ACC0CD9A1}"/>
    <cellStyle name="Įprastas 5 2 2 2 3 2 8" xfId="3090" xr:uid="{A6B058A0-2D7B-44AA-BECB-309225BFEBA8}"/>
    <cellStyle name="Įprastas 5 2 2 2 3 2_8 priedas" xfId="965" xr:uid="{00000000-0005-0000-0000-000059000000}"/>
    <cellStyle name="Įprastas 5 2 2 2 3 3" xfId="60" xr:uid="{00000000-0005-0000-0000-00005A000000}"/>
    <cellStyle name="Įprastas 5 2 2 2 3 3 2" xfId="61" xr:uid="{00000000-0005-0000-0000-00005B000000}"/>
    <cellStyle name="Įprastas 5 2 2 2 3 3 2 2" xfId="748" xr:uid="{00000000-0005-0000-0000-00005C000000}"/>
    <cellStyle name="Įprastas 5 2 2 2 3 3 2 2 2" xfId="1380" xr:uid="{4EB14768-F61B-4C4C-A1D7-977E57E4FCDA}"/>
    <cellStyle name="Įprastas 5 2 2 2 3 3 2 2 2 2" xfId="6353" xr:uid="{BE958423-6F5C-429C-A0EA-B77818D8DBD2}"/>
    <cellStyle name="Įprastas 5 2 2 2 3 3 2 2 2 3" xfId="8081" xr:uid="{5A0AE7E1-8283-4D98-915A-1B426993E4ED}"/>
    <cellStyle name="Įprastas 5 2 2 2 3 3 2 2 2 4" xfId="4625" xr:uid="{7C562418-F22A-4FB7-B7B2-33824375DF65}"/>
    <cellStyle name="Įprastas 5 2 2 2 3 3 2 2 2_8 priedas" xfId="8375" xr:uid="{8A317110-DAE6-48CC-8D2B-2385123A32B5}"/>
    <cellStyle name="Įprastas 5 2 2 2 3 3 2 2 3" xfId="2896" xr:uid="{9874B6F2-842D-4D22-9B8A-F1FF876328CA}"/>
    <cellStyle name="Įprastas 5 2 2 2 3 3 2 2 3 2" xfId="5489" xr:uid="{C1315B00-E6EB-4DCC-BB91-52A26E83B114}"/>
    <cellStyle name="Įprastas 5 2 2 2 3 3 2 2 3_8 priedas" xfId="8376" xr:uid="{DAAC2F16-03D3-414E-B200-D5ED3C197EB5}"/>
    <cellStyle name="Įprastas 5 2 2 2 3 3 2 2 4" xfId="7217" xr:uid="{E9B5DAD9-163C-42A8-99FE-1760E97EDA97}"/>
    <cellStyle name="Įprastas 5 2 2 2 3 3 2 2 5" xfId="3761" xr:uid="{F4B45484-B4B8-47DB-B72E-B7A7C105094D}"/>
    <cellStyle name="Įprastas 5 2 2 2 3 3 2 2_8 priedas" xfId="8374" xr:uid="{CCBD0CC2-160A-4965-94BE-561F3BA7CE0C}"/>
    <cellStyle name="Įprastas 5 2 2 2 3 3 2 3" xfId="1381" xr:uid="{D0749B82-6198-4968-9AE8-6C3245080CCF}"/>
    <cellStyle name="Įprastas 5 2 2 2 3 3 2 3 2" xfId="5686" xr:uid="{B5A4FFAD-053F-4D74-B2D4-5C3238C52B58}"/>
    <cellStyle name="Įprastas 5 2 2 2 3 3 2 3 3" xfId="7414" xr:uid="{2C978E91-5D37-474F-9E93-D5D992A94971}"/>
    <cellStyle name="Įprastas 5 2 2 2 3 3 2 3 4" xfId="3958" xr:uid="{2A5A66B1-0CF7-4978-BDC9-AC543FF2BC16}"/>
    <cellStyle name="Įprastas 5 2 2 2 3 3 2 3_8 priedas" xfId="8377" xr:uid="{95D52610-F62A-4180-817E-68DA5B8B4CEE}"/>
    <cellStyle name="Įprastas 5 2 2 2 3 3 2 4" xfId="2229" xr:uid="{E063BC2E-9836-4860-92A4-54B5802FA159}"/>
    <cellStyle name="Įprastas 5 2 2 2 3 3 2 4 2" xfId="4822" xr:uid="{1645DC0F-9AA9-4798-8B17-5FDEBEDBB1DB}"/>
    <cellStyle name="Įprastas 5 2 2 2 3 3 2 4_8 priedas" xfId="8378" xr:uid="{4F11BACD-832A-44A1-AB5D-838E2504E5D3}"/>
    <cellStyle name="Įprastas 5 2 2 2 3 3 2 5" xfId="6550" xr:uid="{484C799A-440E-4542-9187-DBCD05D46982}"/>
    <cellStyle name="Įprastas 5 2 2 2 3 3 2 6" xfId="3094" xr:uid="{F10E1D7E-257B-444C-B230-3007AAF936C2}"/>
    <cellStyle name="Įprastas 5 2 2 2 3 3 2_8 priedas" xfId="1167" xr:uid="{00000000-0005-0000-0000-00005D000000}"/>
    <cellStyle name="Įprastas 5 2 2 2 3 3 3" xfId="62" xr:uid="{00000000-0005-0000-0000-00005E000000}"/>
    <cellStyle name="Įprastas 5 2 2 2 3 3 3 2" xfId="892" xr:uid="{00000000-0005-0000-0000-00005F000000}"/>
    <cellStyle name="Įprastas 5 2 2 2 3 3 3 2 2" xfId="1382" xr:uid="{B4B4D6F1-0BD5-4A37-81C4-B141A6D5ADCC}"/>
    <cellStyle name="Įprastas 5 2 2 2 3 3 3 2 2 2" xfId="6497" xr:uid="{6700637C-05D8-43C0-9591-3DB242741BC7}"/>
    <cellStyle name="Įprastas 5 2 2 2 3 3 3 2 2 3" xfId="8225" xr:uid="{5B166145-F65A-4BD5-883F-30B4BC78EE49}"/>
    <cellStyle name="Įprastas 5 2 2 2 3 3 3 2 2 4" xfId="4769" xr:uid="{22D95E70-8E71-4B51-997E-76B128156009}"/>
    <cellStyle name="Įprastas 5 2 2 2 3 3 3 2 2_8 priedas" xfId="8380" xr:uid="{7502E9DC-D910-4C19-9912-7717990B5D1C}"/>
    <cellStyle name="Įprastas 5 2 2 2 3 3 3 2 3" xfId="3040" xr:uid="{701EF057-CE5C-45EE-9F62-8B162D2EFCAE}"/>
    <cellStyle name="Įprastas 5 2 2 2 3 3 3 2 3 2" xfId="5633" xr:uid="{796FD3E2-497B-4DB2-ABB7-2C931180F078}"/>
    <cellStyle name="Įprastas 5 2 2 2 3 3 3 2 3_8 priedas" xfId="8381" xr:uid="{50A60817-A647-488C-9D18-C49E8182356E}"/>
    <cellStyle name="Įprastas 5 2 2 2 3 3 3 2 4" xfId="7361" xr:uid="{EA86218C-1F64-4F7B-9229-50EA7067044D}"/>
    <cellStyle name="Įprastas 5 2 2 2 3 3 3 2 5" xfId="3905" xr:uid="{49595E94-A7A5-4C2B-A481-12903346C635}"/>
    <cellStyle name="Įprastas 5 2 2 2 3 3 3 2_8 priedas" xfId="8379" xr:uid="{AD597499-A959-456F-BBF7-740E467407CD}"/>
    <cellStyle name="Įprastas 5 2 2 2 3 3 3 3" xfId="1383" xr:uid="{CBE12C69-8DD1-46E0-9143-4B1AEC23B139}"/>
    <cellStyle name="Įprastas 5 2 2 2 3 3 3 3 2" xfId="5687" xr:uid="{396A8830-C5F6-42D4-A7EC-591F8933C143}"/>
    <cellStyle name="Įprastas 5 2 2 2 3 3 3 3 3" xfId="7415" xr:uid="{D5D8CD1F-C4B3-4007-82A8-8C8A4B551B5B}"/>
    <cellStyle name="Įprastas 5 2 2 2 3 3 3 3 4" xfId="3959" xr:uid="{CB7BFAEB-0C38-4EE3-A54E-BE2FE74E4700}"/>
    <cellStyle name="Įprastas 5 2 2 2 3 3 3 3_8 priedas" xfId="8382" xr:uid="{9EEA04DD-6886-4494-B875-4673EA0E7487}"/>
    <cellStyle name="Įprastas 5 2 2 2 3 3 3 4" xfId="2230" xr:uid="{FBF7651C-F9BD-4F29-ADF3-BA8860A25874}"/>
    <cellStyle name="Įprastas 5 2 2 2 3 3 3 4 2" xfId="4823" xr:uid="{CBCD094A-15CA-4779-B0A1-CACC8ACC224E}"/>
    <cellStyle name="Įprastas 5 2 2 2 3 3 3 4_8 priedas" xfId="8383" xr:uid="{18EBDE8F-B206-4225-A445-9FA1838C0D4B}"/>
    <cellStyle name="Įprastas 5 2 2 2 3 3 3 5" xfId="6551" xr:uid="{8F111786-E5D5-4E76-B7EB-8D0668E4A307}"/>
    <cellStyle name="Įprastas 5 2 2 2 3 3 3 6" xfId="3095" xr:uid="{A112D649-57C3-4F8F-819E-D0E325492F84}"/>
    <cellStyle name="Įprastas 5 2 2 2 3 3 3_8 priedas" xfId="1031" xr:uid="{00000000-0005-0000-0000-000060000000}"/>
    <cellStyle name="Įprastas 5 2 2 2 3 3 4" xfId="604" xr:uid="{00000000-0005-0000-0000-000061000000}"/>
    <cellStyle name="Įprastas 5 2 2 2 3 3 4 2" xfId="1384" xr:uid="{0387D664-9CC7-4989-BE89-052A4A0F5F13}"/>
    <cellStyle name="Įprastas 5 2 2 2 3 3 4 2 2" xfId="6209" xr:uid="{B047125B-00D7-48CE-9468-DBB2DFE5A0B0}"/>
    <cellStyle name="Įprastas 5 2 2 2 3 3 4 2 3" xfId="7937" xr:uid="{3E1DDAAB-639A-447A-82FC-041D39054B77}"/>
    <cellStyle name="Įprastas 5 2 2 2 3 3 4 2 4" xfId="4481" xr:uid="{93123FB5-40BD-40E3-9546-57C7A44E3604}"/>
    <cellStyle name="Įprastas 5 2 2 2 3 3 4 2_8 priedas" xfId="8385" xr:uid="{6ADDD513-DDBC-45FE-B96C-3A4FE5752929}"/>
    <cellStyle name="Įprastas 5 2 2 2 3 3 4 3" xfId="2752" xr:uid="{8AC1CB36-D4D8-4144-9930-E5910500DA5A}"/>
    <cellStyle name="Įprastas 5 2 2 2 3 3 4 3 2" xfId="5345" xr:uid="{94996082-6437-4523-A275-6BDEAB9AED00}"/>
    <cellStyle name="Įprastas 5 2 2 2 3 3 4 3_8 priedas" xfId="8386" xr:uid="{6D16CB8F-F455-4F10-9B5F-12E0F35176AC}"/>
    <cellStyle name="Įprastas 5 2 2 2 3 3 4 4" xfId="7073" xr:uid="{B919A51B-9BE2-4F81-9744-1B3F6C184C95}"/>
    <cellStyle name="Įprastas 5 2 2 2 3 3 4 5" xfId="3617" xr:uid="{6A564935-299D-4CA6-9E8C-F445B54B7FE3}"/>
    <cellStyle name="Įprastas 5 2 2 2 3 3 4_8 priedas" xfId="8384" xr:uid="{B8846FAB-B690-4E94-A346-56703B2BF534}"/>
    <cellStyle name="Įprastas 5 2 2 2 3 3 5" xfId="1385" xr:uid="{0574A32A-EB3F-4E53-A0A3-5438B655B32F}"/>
    <cellStyle name="Įprastas 5 2 2 2 3 3 5 2" xfId="5685" xr:uid="{D6A4D843-DBF4-4DBB-BF77-C5C409994640}"/>
    <cellStyle name="Įprastas 5 2 2 2 3 3 5 3" xfId="7413" xr:uid="{A12B9291-49C3-4903-9E86-B4C9168FBE17}"/>
    <cellStyle name="Įprastas 5 2 2 2 3 3 5 4" xfId="3957" xr:uid="{B7FF451D-9DF2-4BC4-9C6D-82261D42ADBC}"/>
    <cellStyle name="Įprastas 5 2 2 2 3 3 5_8 priedas" xfId="8387" xr:uid="{34595AC0-E680-4657-B494-3FABEF1994BF}"/>
    <cellStyle name="Įprastas 5 2 2 2 3 3 6" xfId="2228" xr:uid="{94A75870-97B9-4248-AEFB-7031355813A5}"/>
    <cellStyle name="Įprastas 5 2 2 2 3 3 6 2" xfId="4821" xr:uid="{9D7E0AB6-D3CD-4725-B43A-B39FFA94EE8D}"/>
    <cellStyle name="Įprastas 5 2 2 2 3 3 6_8 priedas" xfId="8388" xr:uid="{FF102168-DCFD-4571-BFB7-D92399F71706}"/>
    <cellStyle name="Įprastas 5 2 2 2 3 3 7" xfId="6549" xr:uid="{3F975E33-8F02-4257-8206-07F5FFB3B40B}"/>
    <cellStyle name="Įprastas 5 2 2 2 3 3 8" xfId="3093" xr:uid="{6302993B-8081-4232-A080-75F836B5F56C}"/>
    <cellStyle name="Įprastas 5 2 2 2 3 3_8 priedas" xfId="1304" xr:uid="{00000000-0005-0000-0000-000062000000}"/>
    <cellStyle name="Įprastas 5 2 2 2 3 4" xfId="63" xr:uid="{00000000-0005-0000-0000-000063000000}"/>
    <cellStyle name="Įprastas 5 2 2 2 3 4 2" xfId="652" xr:uid="{00000000-0005-0000-0000-000064000000}"/>
    <cellStyle name="Įprastas 5 2 2 2 3 4 2 2" xfId="1386" xr:uid="{8C4386B1-087B-4447-9D3E-61081DD695DD}"/>
    <cellStyle name="Įprastas 5 2 2 2 3 4 2 2 2" xfId="6257" xr:uid="{65A5ADD6-510D-4D35-A082-F7C6B1BCDB74}"/>
    <cellStyle name="Įprastas 5 2 2 2 3 4 2 2 3" xfId="7985" xr:uid="{6E63089A-5D1C-45EB-8800-87ECEA1A166F}"/>
    <cellStyle name="Įprastas 5 2 2 2 3 4 2 2 4" xfId="4529" xr:uid="{D62C00AA-D8BF-4DBD-A325-990D9232F2FC}"/>
    <cellStyle name="Įprastas 5 2 2 2 3 4 2 2_8 priedas" xfId="8390" xr:uid="{0552F51F-463F-4388-AFCF-83056906E89E}"/>
    <cellStyle name="Įprastas 5 2 2 2 3 4 2 3" xfId="2800" xr:uid="{21E2C33B-EBED-4694-B2B7-7CE68B56D9AE}"/>
    <cellStyle name="Įprastas 5 2 2 2 3 4 2 3 2" xfId="5393" xr:uid="{223584EA-FBC8-433F-B6F9-386D7200D4C1}"/>
    <cellStyle name="Įprastas 5 2 2 2 3 4 2 3_8 priedas" xfId="8391" xr:uid="{FCDE755A-8EAC-414E-A29D-39DF551E7014}"/>
    <cellStyle name="Įprastas 5 2 2 2 3 4 2 4" xfId="7121" xr:uid="{8522290C-D4DE-400C-8DAA-A3998919F524}"/>
    <cellStyle name="Įprastas 5 2 2 2 3 4 2 5" xfId="3665" xr:uid="{CAB4B385-F3F5-472F-8272-5C698D3CEE58}"/>
    <cellStyle name="Įprastas 5 2 2 2 3 4 2_8 priedas" xfId="8389" xr:uid="{D75A12B8-CE9B-4602-B60A-8BD3D5F343E4}"/>
    <cellStyle name="Įprastas 5 2 2 2 3 4 3" xfId="1387" xr:uid="{03D6B7A4-BDB5-494A-B143-39D490A515EA}"/>
    <cellStyle name="Įprastas 5 2 2 2 3 4 3 2" xfId="5688" xr:uid="{0D1B1250-64CE-4999-8099-37A7FC702E32}"/>
    <cellStyle name="Įprastas 5 2 2 2 3 4 3 3" xfId="7416" xr:uid="{A51D31B7-1B53-4528-8612-8FCFE5B28DFF}"/>
    <cellStyle name="Įprastas 5 2 2 2 3 4 3 4" xfId="3960" xr:uid="{54D0C0AC-F593-4E88-B0F1-407D0F798C93}"/>
    <cellStyle name="Įprastas 5 2 2 2 3 4 3_8 priedas" xfId="8392" xr:uid="{4BF0FD4A-BCFB-4CDF-A4A6-23AD115C8E13}"/>
    <cellStyle name="Įprastas 5 2 2 2 3 4 4" xfId="2231" xr:uid="{9331BC62-4BE8-4A4F-9EAD-D33FAEE6201D}"/>
    <cellStyle name="Įprastas 5 2 2 2 3 4 4 2" xfId="4824" xr:uid="{F12664DE-46E3-481B-94FB-3CD45C12E356}"/>
    <cellStyle name="Įprastas 5 2 2 2 3 4 4_8 priedas" xfId="8393" xr:uid="{2254260C-4687-4585-9BCA-2600331266A7}"/>
    <cellStyle name="Įprastas 5 2 2 2 3 4 5" xfId="6552" xr:uid="{75C28E6C-EBAE-4D57-8BBA-3E4A2EA9B156}"/>
    <cellStyle name="Įprastas 5 2 2 2 3 4 6" xfId="3096" xr:uid="{A76A429A-918C-4845-B0B6-B92946B01820}"/>
    <cellStyle name="Įprastas 5 2 2 2 3 4_8 priedas" xfId="1255" xr:uid="{00000000-0005-0000-0000-000065000000}"/>
    <cellStyle name="Įprastas 5 2 2 2 3 5" xfId="64" xr:uid="{00000000-0005-0000-0000-000066000000}"/>
    <cellStyle name="Įprastas 5 2 2 2 3 5 2" xfId="796" xr:uid="{00000000-0005-0000-0000-000067000000}"/>
    <cellStyle name="Įprastas 5 2 2 2 3 5 2 2" xfId="1388" xr:uid="{5F674B7E-BD4D-4F87-AC46-197F0F2EB129}"/>
    <cellStyle name="Įprastas 5 2 2 2 3 5 2 2 2" xfId="6401" xr:uid="{EEE4580F-77E9-4102-B561-BBF1DFBDB6AB}"/>
    <cellStyle name="Įprastas 5 2 2 2 3 5 2 2 3" xfId="8129" xr:uid="{9E18A050-9B9A-4F77-A39D-DB605FE9997A}"/>
    <cellStyle name="Įprastas 5 2 2 2 3 5 2 2 4" xfId="4673" xr:uid="{D08F73C3-38CC-4935-AE75-71FD8272ED63}"/>
    <cellStyle name="Įprastas 5 2 2 2 3 5 2 2_8 priedas" xfId="8395" xr:uid="{7079F850-0491-4DFE-A22D-A29AFAFD9EA9}"/>
    <cellStyle name="Įprastas 5 2 2 2 3 5 2 3" xfId="2944" xr:uid="{246EA73E-4CFC-42D1-B595-2CD5D7D2A8B7}"/>
    <cellStyle name="Įprastas 5 2 2 2 3 5 2 3 2" xfId="5537" xr:uid="{1EE1ED61-F128-4D25-AB71-3A2968438DF4}"/>
    <cellStyle name="Įprastas 5 2 2 2 3 5 2 3_8 priedas" xfId="8396" xr:uid="{67EC4075-F60F-4A98-BB69-3963D789187B}"/>
    <cellStyle name="Įprastas 5 2 2 2 3 5 2 4" xfId="7265" xr:uid="{0691FA82-A774-4EEA-83FC-CC9338A72E6C}"/>
    <cellStyle name="Įprastas 5 2 2 2 3 5 2 5" xfId="3809" xr:uid="{7B9B03E0-F641-430B-85AA-836038D84937}"/>
    <cellStyle name="Įprastas 5 2 2 2 3 5 2_8 priedas" xfId="8394" xr:uid="{E2642304-493E-4F7D-95F1-7DA36E8292A8}"/>
    <cellStyle name="Įprastas 5 2 2 2 3 5 3" xfId="1389" xr:uid="{14253B4C-6ACE-4DBF-9737-662E256E4CD9}"/>
    <cellStyle name="Įprastas 5 2 2 2 3 5 3 2" xfId="5689" xr:uid="{AEB62AA8-FC0A-417D-BCD5-7D1CCCEE0B2F}"/>
    <cellStyle name="Įprastas 5 2 2 2 3 5 3 3" xfId="7417" xr:uid="{F3ECD902-D895-475B-9950-F3653D1D9B05}"/>
    <cellStyle name="Įprastas 5 2 2 2 3 5 3 4" xfId="3961" xr:uid="{0418EB45-CA69-449D-BEFD-AD7A198D85A8}"/>
    <cellStyle name="Įprastas 5 2 2 2 3 5 3_8 priedas" xfId="8397" xr:uid="{B072EBB3-ADA7-4D1F-8391-23E729D6BBF5}"/>
    <cellStyle name="Įprastas 5 2 2 2 3 5 4" xfId="2232" xr:uid="{128F2A67-1296-4436-8E0B-3225561ED4E5}"/>
    <cellStyle name="Įprastas 5 2 2 2 3 5 4 2" xfId="4825" xr:uid="{2CEFC19D-4E34-4FB5-95AD-4B8CF525A603}"/>
    <cellStyle name="Įprastas 5 2 2 2 3 5 4_8 priedas" xfId="8398" xr:uid="{B5299655-1274-4B05-AB78-A5363904BB1D}"/>
    <cellStyle name="Įprastas 5 2 2 2 3 5 5" xfId="6553" xr:uid="{4919F92B-C116-46B2-8CE6-055DE021F549}"/>
    <cellStyle name="Įprastas 5 2 2 2 3 5 6" xfId="3097" xr:uid="{936F70E1-26E1-439D-8638-36E561972356}"/>
    <cellStyle name="Įprastas 5 2 2 2 3 5_8 priedas" xfId="1119" xr:uid="{00000000-0005-0000-0000-000068000000}"/>
    <cellStyle name="Įprastas 5 2 2 2 3 6" xfId="508" xr:uid="{00000000-0005-0000-0000-000069000000}"/>
    <cellStyle name="Įprastas 5 2 2 2 3 6 2" xfId="1390" xr:uid="{A8BA1D55-1218-4DEE-A322-AC3617BD1FAF}"/>
    <cellStyle name="Įprastas 5 2 2 2 3 6 2 2" xfId="6113" xr:uid="{DADB5539-3462-411B-9607-F167990E0891}"/>
    <cellStyle name="Įprastas 5 2 2 2 3 6 2 3" xfId="7841" xr:uid="{C5523873-A47C-4298-8593-DEAFAD014C36}"/>
    <cellStyle name="Įprastas 5 2 2 2 3 6 2 4" xfId="4385" xr:uid="{59995CF3-E133-402C-8AF3-0B1EF1BC0443}"/>
    <cellStyle name="Įprastas 5 2 2 2 3 6 2_8 priedas" xfId="8400" xr:uid="{3CB7A963-A199-42E4-8E85-6E0D00541AAB}"/>
    <cellStyle name="Įprastas 5 2 2 2 3 6 3" xfId="2656" xr:uid="{D1AAA514-8834-4703-8EBA-4478A95FED79}"/>
    <cellStyle name="Įprastas 5 2 2 2 3 6 3 2" xfId="5249" xr:uid="{2C55DA4A-CE68-49B1-8C3E-7326E70DACDB}"/>
    <cellStyle name="Įprastas 5 2 2 2 3 6 3_8 priedas" xfId="8401" xr:uid="{38DD7F06-DD58-443D-9D88-97E68D9E1E98}"/>
    <cellStyle name="Įprastas 5 2 2 2 3 6 4" xfId="6977" xr:uid="{46B000B5-D62B-462F-8D80-81D963924814}"/>
    <cellStyle name="Įprastas 5 2 2 2 3 6 5" xfId="3521" xr:uid="{EEBBBFD2-7D4E-4883-9C46-BDD70ED59CD8}"/>
    <cellStyle name="Įprastas 5 2 2 2 3 6_8 priedas" xfId="8399" xr:uid="{5717C204-FF1B-48BB-919C-F209DD262C78}"/>
    <cellStyle name="Įprastas 5 2 2 2 3 7" xfId="1391" xr:uid="{25D09501-92ED-40FC-A838-9BAEC0515F96}"/>
    <cellStyle name="Įprastas 5 2 2 2 3 7 2" xfId="5681" xr:uid="{40102FEB-E4E5-49C2-9E0D-3B18FFC3A7F7}"/>
    <cellStyle name="Įprastas 5 2 2 2 3 7 3" xfId="7409" xr:uid="{44868528-CAE1-48B6-838C-A2316FF16705}"/>
    <cellStyle name="Įprastas 5 2 2 2 3 7 4" xfId="3953" xr:uid="{518B1F31-33C8-4F00-8BD3-C87C03D41981}"/>
    <cellStyle name="Įprastas 5 2 2 2 3 7_8 priedas" xfId="8402" xr:uid="{B71145D5-6D1B-4406-AFBF-A37F761320C9}"/>
    <cellStyle name="Įprastas 5 2 2 2 3 8" xfId="2224" xr:uid="{6E425B2B-5EB2-4C56-B4F8-6DD9F9435BB8}"/>
    <cellStyle name="Įprastas 5 2 2 2 3 8 2" xfId="4817" xr:uid="{B7B87DB3-F4D5-4361-B176-4E1C69BDB413}"/>
    <cellStyle name="Įprastas 5 2 2 2 3 8_8 priedas" xfId="8403" xr:uid="{1A2E0B7E-F4BF-44E4-8DA5-5FE2EA90505C}"/>
    <cellStyle name="Įprastas 5 2 2 2 3 9" xfId="6545" xr:uid="{319F8C49-887A-4036-8A92-3D8AEE0C73F5}"/>
    <cellStyle name="Įprastas 5 2 2 2 3_8 priedas" xfId="1102" xr:uid="{00000000-0005-0000-0000-00006A000000}"/>
    <cellStyle name="Įprastas 5 2 2 2 4" xfId="65" xr:uid="{00000000-0005-0000-0000-00006B000000}"/>
    <cellStyle name="Įprastas 5 2 2 2 4 2" xfId="66" xr:uid="{00000000-0005-0000-0000-00006C000000}"/>
    <cellStyle name="Įprastas 5 2 2 2 4 2 2" xfId="676" xr:uid="{00000000-0005-0000-0000-00006D000000}"/>
    <cellStyle name="Įprastas 5 2 2 2 4 2 2 2" xfId="1392" xr:uid="{1B3A77E3-3F10-4A58-84D3-4942F35D0085}"/>
    <cellStyle name="Įprastas 5 2 2 2 4 2 2 2 2" xfId="6281" xr:uid="{24F78098-F850-402E-B00C-55CA649200AF}"/>
    <cellStyle name="Įprastas 5 2 2 2 4 2 2 2 3" xfId="8009" xr:uid="{5FF09F21-DBDD-4D03-8489-8650B6F4ED16}"/>
    <cellStyle name="Įprastas 5 2 2 2 4 2 2 2 4" xfId="4553" xr:uid="{84B8ABE3-A348-475B-B5F3-93DB5AFF003D}"/>
    <cellStyle name="Įprastas 5 2 2 2 4 2 2 2_8 priedas" xfId="8405" xr:uid="{80AAB139-9496-4993-945C-F9A7657D5328}"/>
    <cellStyle name="Įprastas 5 2 2 2 4 2 2 3" xfId="2824" xr:uid="{309A2EB9-658C-41EC-BD90-311516A4422F}"/>
    <cellStyle name="Įprastas 5 2 2 2 4 2 2 3 2" xfId="5417" xr:uid="{83DF3E63-4FD5-4621-B31A-AFB081F1A21F}"/>
    <cellStyle name="Įprastas 5 2 2 2 4 2 2 3_8 priedas" xfId="8406" xr:uid="{C793C322-13AE-4399-84D7-1886785D7619}"/>
    <cellStyle name="Įprastas 5 2 2 2 4 2 2 4" xfId="7145" xr:uid="{73F556D1-FB1C-4BAA-9153-17DA18E2D66F}"/>
    <cellStyle name="Įprastas 5 2 2 2 4 2 2 5" xfId="3689" xr:uid="{57A3FAB2-A834-4A72-8647-4DE124B80D90}"/>
    <cellStyle name="Įprastas 5 2 2 2 4 2 2_8 priedas" xfId="8404" xr:uid="{47CA9116-4568-4CE5-8576-BEE917839997}"/>
    <cellStyle name="Įprastas 5 2 2 2 4 2 3" xfId="1393" xr:uid="{935A5489-C798-4CF5-9BA0-15BEC6A2AE0E}"/>
    <cellStyle name="Įprastas 5 2 2 2 4 2 3 2" xfId="5691" xr:uid="{8A8F75D7-50D9-4345-BD0B-EED6728DA32B}"/>
    <cellStyle name="Įprastas 5 2 2 2 4 2 3 3" xfId="7419" xr:uid="{32056486-310F-4941-97B0-A42B01B2820D}"/>
    <cellStyle name="Įprastas 5 2 2 2 4 2 3 4" xfId="3963" xr:uid="{B9716357-F60F-4F75-91ED-1344CAC21E4C}"/>
    <cellStyle name="Įprastas 5 2 2 2 4 2 3_8 priedas" xfId="8407" xr:uid="{0199291F-8087-4518-9FCF-4D9CF2B2A672}"/>
    <cellStyle name="Įprastas 5 2 2 2 4 2 4" xfId="2234" xr:uid="{A2BFA64E-5398-443E-958C-6AB9B59EAFBE}"/>
    <cellStyle name="Įprastas 5 2 2 2 4 2 4 2" xfId="4827" xr:uid="{660B04D8-8D7B-46CD-81FB-9AFBEFFDA63E}"/>
    <cellStyle name="Įprastas 5 2 2 2 4 2 4_8 priedas" xfId="8408" xr:uid="{C7C8AC91-8B39-4A56-AD4C-529587A88BBF}"/>
    <cellStyle name="Įprastas 5 2 2 2 4 2 5" xfId="6555" xr:uid="{D21B4602-14AC-4E7F-8C2E-DC96028661F5}"/>
    <cellStyle name="Įprastas 5 2 2 2 4 2 6" xfId="3099" xr:uid="{582C12CA-D238-4E03-BF81-17A222108612}"/>
    <cellStyle name="Įprastas 5 2 2 2 4 2_8 priedas" xfId="942" xr:uid="{00000000-0005-0000-0000-00006E000000}"/>
    <cellStyle name="Įprastas 5 2 2 2 4 3" xfId="67" xr:uid="{00000000-0005-0000-0000-00006F000000}"/>
    <cellStyle name="Įprastas 5 2 2 2 4 3 2" xfId="820" xr:uid="{00000000-0005-0000-0000-000070000000}"/>
    <cellStyle name="Įprastas 5 2 2 2 4 3 2 2" xfId="1394" xr:uid="{76A8F43E-1F17-4FF9-9786-D2DB8B15CBA9}"/>
    <cellStyle name="Įprastas 5 2 2 2 4 3 2 2 2" xfId="6425" xr:uid="{5DC42525-20BA-49F9-AE3B-05CC42E83BE3}"/>
    <cellStyle name="Įprastas 5 2 2 2 4 3 2 2 3" xfId="8153" xr:uid="{897C6C8E-0CA0-468F-B6C9-7D2806828FD1}"/>
    <cellStyle name="Įprastas 5 2 2 2 4 3 2 2 4" xfId="4697" xr:uid="{11EE5858-290D-47C6-B799-0F2AC26CCF7D}"/>
    <cellStyle name="Įprastas 5 2 2 2 4 3 2 2_8 priedas" xfId="8410" xr:uid="{BCED169E-9289-4CF1-BD62-FF60507A6337}"/>
    <cellStyle name="Įprastas 5 2 2 2 4 3 2 3" xfId="2968" xr:uid="{73F4FE8B-4239-4D07-9561-DBC819FEEC83}"/>
    <cellStyle name="Įprastas 5 2 2 2 4 3 2 3 2" xfId="5561" xr:uid="{36AB9146-B6EF-4613-B555-DE6E9FA9EE8F}"/>
    <cellStyle name="Įprastas 5 2 2 2 4 3 2 3_8 priedas" xfId="8411" xr:uid="{AA632B2E-2828-4D01-9A4B-141C0AFACE77}"/>
    <cellStyle name="Įprastas 5 2 2 2 4 3 2 4" xfId="7289" xr:uid="{FDFB7C74-FB1B-4901-9F6B-B806DCFE79E5}"/>
    <cellStyle name="Įprastas 5 2 2 2 4 3 2 5" xfId="3833" xr:uid="{34DE3B0B-2A22-49CE-8B32-5B7BD85A0438}"/>
    <cellStyle name="Įprastas 5 2 2 2 4 3 2_8 priedas" xfId="8409" xr:uid="{850B22DC-8C4C-4F77-8870-2D69FF5C014B}"/>
    <cellStyle name="Įprastas 5 2 2 2 4 3 3" xfId="1395" xr:uid="{19173A7E-A0D2-451B-9CEE-63371A9B5249}"/>
    <cellStyle name="Įprastas 5 2 2 2 4 3 3 2" xfId="5692" xr:uid="{74662B5B-C958-4212-88EB-8BF69FCE7090}"/>
    <cellStyle name="Įprastas 5 2 2 2 4 3 3 3" xfId="7420" xr:uid="{E4631DE1-049E-4DBA-B890-1B5C87CCEEDC}"/>
    <cellStyle name="Įprastas 5 2 2 2 4 3 3 4" xfId="3964" xr:uid="{99B84422-C903-4754-A77C-D1FF234AF909}"/>
    <cellStyle name="Įprastas 5 2 2 2 4 3 3_8 priedas" xfId="8412" xr:uid="{36F3CD36-B361-40A2-8336-C5AD9A9390D0}"/>
    <cellStyle name="Įprastas 5 2 2 2 4 3 4" xfId="2235" xr:uid="{A67E186A-F631-48C3-B36F-6D7DE2C7C43C}"/>
    <cellStyle name="Įprastas 5 2 2 2 4 3 4 2" xfId="4828" xr:uid="{1B08086B-3FFB-420E-AEB2-51AE4FA6DE7E}"/>
    <cellStyle name="Įprastas 5 2 2 2 4 3 4_8 priedas" xfId="8413" xr:uid="{6E859929-5D93-43BE-8F23-AFC9AA4F1474}"/>
    <cellStyle name="Įprastas 5 2 2 2 4 3 5" xfId="6556" xr:uid="{0E0028CC-A4F5-464B-AD1C-A6D5994855A8}"/>
    <cellStyle name="Įprastas 5 2 2 2 4 3 6" xfId="3100" xr:uid="{35B78936-216D-44C2-B5A3-675FAEB03ED2}"/>
    <cellStyle name="Įprastas 5 2 2 2 4 3_8 priedas" xfId="1201" xr:uid="{00000000-0005-0000-0000-000071000000}"/>
    <cellStyle name="Įprastas 5 2 2 2 4 4" xfId="532" xr:uid="{00000000-0005-0000-0000-000072000000}"/>
    <cellStyle name="Įprastas 5 2 2 2 4 4 2" xfId="1396" xr:uid="{50EE62A2-EF00-4A40-B937-E6AEB80E17B1}"/>
    <cellStyle name="Įprastas 5 2 2 2 4 4 2 2" xfId="6137" xr:uid="{9D4551D4-B6A5-4B2B-8946-53B852FCD94E}"/>
    <cellStyle name="Įprastas 5 2 2 2 4 4 2 3" xfId="7865" xr:uid="{34A93A08-5E72-4E09-9D0D-7DB123492715}"/>
    <cellStyle name="Įprastas 5 2 2 2 4 4 2 4" xfId="4409" xr:uid="{EC23B355-DEEA-4FD4-B1B5-097BB2DC009F}"/>
    <cellStyle name="Įprastas 5 2 2 2 4 4 2_8 priedas" xfId="8415" xr:uid="{37BEEEE2-5DEF-4261-A2BB-B6BD0CC16DF2}"/>
    <cellStyle name="Įprastas 5 2 2 2 4 4 3" xfId="2680" xr:uid="{FD7CB178-2FE2-4E83-809D-3842E0FD6323}"/>
    <cellStyle name="Įprastas 5 2 2 2 4 4 3 2" xfId="5273" xr:uid="{E75799CB-1561-4225-941D-661992BD06E5}"/>
    <cellStyle name="Įprastas 5 2 2 2 4 4 3_8 priedas" xfId="8416" xr:uid="{7C8F2190-FFAF-472A-8D41-700AC44ADF65}"/>
    <cellStyle name="Įprastas 5 2 2 2 4 4 4" xfId="7001" xr:uid="{B2EB10B6-36E4-4A5C-A8EE-AFB931F3EC74}"/>
    <cellStyle name="Įprastas 5 2 2 2 4 4 5" xfId="3545" xr:uid="{F5A11625-05B5-44C2-85C5-9303D30282A0}"/>
    <cellStyle name="Įprastas 5 2 2 2 4 4_8 priedas" xfId="8414" xr:uid="{AA8AFF8F-233A-4051-9A27-3235936F9DBE}"/>
    <cellStyle name="Įprastas 5 2 2 2 4 5" xfId="1397" xr:uid="{565CECF1-2F09-4FFB-8D56-063A3889E320}"/>
    <cellStyle name="Įprastas 5 2 2 2 4 5 2" xfId="5690" xr:uid="{8B2CDF77-78D5-4D6F-9B66-223465C10693}"/>
    <cellStyle name="Įprastas 5 2 2 2 4 5 3" xfId="7418" xr:uid="{594C6CE9-23DA-4BB4-8D60-55C9D7A8CC60}"/>
    <cellStyle name="Įprastas 5 2 2 2 4 5 4" xfId="3962" xr:uid="{ED76BE98-18EC-4CA4-B79F-6199501CDB76}"/>
    <cellStyle name="Įprastas 5 2 2 2 4 5_8 priedas" xfId="8417" xr:uid="{D97EF7E6-534D-4C22-9B02-5F90B5248D91}"/>
    <cellStyle name="Įprastas 5 2 2 2 4 6" xfId="2233" xr:uid="{5CF30EA2-9B57-4F40-8F97-01B7B64965C9}"/>
    <cellStyle name="Įprastas 5 2 2 2 4 6 2" xfId="4826" xr:uid="{B11F5452-5891-41C0-9750-FD91A52B122E}"/>
    <cellStyle name="Įprastas 5 2 2 2 4 6_8 priedas" xfId="8418" xr:uid="{58BA78A6-3683-41F4-B740-725826FEE65F}"/>
    <cellStyle name="Įprastas 5 2 2 2 4 7" xfId="6554" xr:uid="{F2637106-FD98-42C9-A210-1E5721CB7353}"/>
    <cellStyle name="Įprastas 5 2 2 2 4 8" xfId="3098" xr:uid="{2FF13006-0E6B-41AC-A851-48A71D5A243D}"/>
    <cellStyle name="Įprastas 5 2 2 2 4_8 priedas" xfId="983" xr:uid="{00000000-0005-0000-0000-000073000000}"/>
    <cellStyle name="Įprastas 5 2 2 2 5" xfId="68" xr:uid="{00000000-0005-0000-0000-000074000000}"/>
    <cellStyle name="Įprastas 5 2 2 2 5 2" xfId="69" xr:uid="{00000000-0005-0000-0000-000075000000}"/>
    <cellStyle name="Įprastas 5 2 2 2 5 2 2" xfId="724" xr:uid="{00000000-0005-0000-0000-000076000000}"/>
    <cellStyle name="Įprastas 5 2 2 2 5 2 2 2" xfId="1398" xr:uid="{FF5903A2-8C7A-45E5-A3DC-C527ADB7E5E0}"/>
    <cellStyle name="Įprastas 5 2 2 2 5 2 2 2 2" xfId="6329" xr:uid="{7D502E99-B82B-479A-B602-B24AAFB8B9FE}"/>
    <cellStyle name="Įprastas 5 2 2 2 5 2 2 2 3" xfId="8057" xr:uid="{489B1543-734A-4DCE-A078-FA247F9E4A8D}"/>
    <cellStyle name="Įprastas 5 2 2 2 5 2 2 2 4" xfId="4601" xr:uid="{E8AB5D5D-DF7F-4495-96CB-EFE930A57F14}"/>
    <cellStyle name="Įprastas 5 2 2 2 5 2 2 2_8 priedas" xfId="8420" xr:uid="{0391ABD8-99BB-4400-9C30-13572B47CFA8}"/>
    <cellStyle name="Įprastas 5 2 2 2 5 2 2 3" xfId="2872" xr:uid="{8D2C03F4-701D-4190-839A-59294D86F822}"/>
    <cellStyle name="Įprastas 5 2 2 2 5 2 2 3 2" xfId="5465" xr:uid="{E1BB957A-92F3-4760-8418-278788E7915C}"/>
    <cellStyle name="Įprastas 5 2 2 2 5 2 2 3_8 priedas" xfId="8421" xr:uid="{D9CAC69A-8AF6-489C-8DF7-D47464AE0198}"/>
    <cellStyle name="Įprastas 5 2 2 2 5 2 2 4" xfId="7193" xr:uid="{84B73CBD-481A-4BAD-9B35-ECAF0766E931}"/>
    <cellStyle name="Įprastas 5 2 2 2 5 2 2 5" xfId="3737" xr:uid="{A95D6B8E-C80B-4508-9D36-A63B9F2C9EEF}"/>
    <cellStyle name="Įprastas 5 2 2 2 5 2 2_8 priedas" xfId="8419" xr:uid="{F616545A-8644-49C9-A6A7-E1007928BB45}"/>
    <cellStyle name="Įprastas 5 2 2 2 5 2 3" xfId="1399" xr:uid="{58004AE1-A22B-47AC-B5AB-C3E9E5508DEC}"/>
    <cellStyle name="Įprastas 5 2 2 2 5 2 3 2" xfId="5694" xr:uid="{EAC12704-DD4A-404B-A854-A126A32D1954}"/>
    <cellStyle name="Įprastas 5 2 2 2 5 2 3 3" xfId="7422" xr:uid="{F9E217F7-4E5D-4F37-BD3C-1E56327540D5}"/>
    <cellStyle name="Įprastas 5 2 2 2 5 2 3 4" xfId="3966" xr:uid="{0735A64E-916D-469F-8FA3-314E900A1372}"/>
    <cellStyle name="Įprastas 5 2 2 2 5 2 3_8 priedas" xfId="8422" xr:uid="{FC6E68F5-3ED5-4EBA-AB8A-2CA31C0518D2}"/>
    <cellStyle name="Įprastas 5 2 2 2 5 2 4" xfId="2237" xr:uid="{EBAB1F6D-2F74-402F-8B18-A59BDD38B608}"/>
    <cellStyle name="Įprastas 5 2 2 2 5 2 4 2" xfId="4830" xr:uid="{1C7FE43E-E3A1-44AF-B0D7-12180C44D239}"/>
    <cellStyle name="Įprastas 5 2 2 2 5 2 4_8 priedas" xfId="8423" xr:uid="{EDA460FC-0DFC-4F9C-86AD-3A5932069889}"/>
    <cellStyle name="Įprastas 5 2 2 2 5 2 5" xfId="6558" xr:uid="{C81BAB7D-4AF0-4B85-9596-D60EF0A33DA2}"/>
    <cellStyle name="Įprastas 5 2 2 2 5 2 6" xfId="3102" xr:uid="{BE3711D3-B83A-4F3D-9759-FA5DE9CB95F5}"/>
    <cellStyle name="Įprastas 5 2 2 2 5 2_8 priedas" xfId="1292" xr:uid="{00000000-0005-0000-0000-000077000000}"/>
    <cellStyle name="Įprastas 5 2 2 2 5 3" xfId="70" xr:uid="{00000000-0005-0000-0000-000078000000}"/>
    <cellStyle name="Įprastas 5 2 2 2 5 3 2" xfId="868" xr:uid="{00000000-0005-0000-0000-000079000000}"/>
    <cellStyle name="Įprastas 5 2 2 2 5 3 2 2" xfId="1400" xr:uid="{C4A947A7-F7EE-418B-9384-28108EE7295F}"/>
    <cellStyle name="Įprastas 5 2 2 2 5 3 2 2 2" xfId="6473" xr:uid="{8B253924-C30F-4637-A803-8FEED507A6BD}"/>
    <cellStyle name="Įprastas 5 2 2 2 5 3 2 2 3" xfId="8201" xr:uid="{9123979A-3CA2-4F5E-869A-663DBF97D24A}"/>
    <cellStyle name="Įprastas 5 2 2 2 5 3 2 2 4" xfId="4745" xr:uid="{49CD56DC-E0B5-455A-8BDB-49B6CE801711}"/>
    <cellStyle name="Įprastas 5 2 2 2 5 3 2 2_8 priedas" xfId="8425" xr:uid="{29386131-2961-4500-BE5E-71F933D6D172}"/>
    <cellStyle name="Įprastas 5 2 2 2 5 3 2 3" xfId="3016" xr:uid="{A7D1A011-8F4B-49B4-94C7-2083FE8D3520}"/>
    <cellStyle name="Įprastas 5 2 2 2 5 3 2 3 2" xfId="5609" xr:uid="{A86DD63F-D06A-4BDF-AF2A-12E4C545DF16}"/>
    <cellStyle name="Įprastas 5 2 2 2 5 3 2 3_8 priedas" xfId="8426" xr:uid="{FED3D72E-66FC-40B4-B580-068FC10EA7A2}"/>
    <cellStyle name="Įprastas 5 2 2 2 5 3 2 4" xfId="7337" xr:uid="{6EE6D299-4F4C-4713-BDB7-CDE152582168}"/>
    <cellStyle name="Įprastas 5 2 2 2 5 3 2 5" xfId="3881" xr:uid="{C526DD0A-AD6C-48CE-A727-5F6AF10AB2EB}"/>
    <cellStyle name="Įprastas 5 2 2 2 5 3 2_8 priedas" xfId="8424" xr:uid="{703AAFE0-B51C-4490-A2BE-A2718CC62794}"/>
    <cellStyle name="Įprastas 5 2 2 2 5 3 3" xfId="1401" xr:uid="{F48E2993-0184-47C5-A4D7-7A1E9DDA0664}"/>
    <cellStyle name="Įprastas 5 2 2 2 5 3 3 2" xfId="5695" xr:uid="{05D67DF7-0197-4283-BF23-6EB21D04B646}"/>
    <cellStyle name="Įprastas 5 2 2 2 5 3 3 3" xfId="7423" xr:uid="{2CEE4B7D-B894-487D-89E8-81D682FE4CFB}"/>
    <cellStyle name="Įprastas 5 2 2 2 5 3 3 4" xfId="3967" xr:uid="{24C6CFE4-7530-46E4-AEE3-79D8C24CC81A}"/>
    <cellStyle name="Įprastas 5 2 2 2 5 3 3_8 priedas" xfId="8427" xr:uid="{2E83E543-BF87-4194-B1B2-95B1D162B8B4}"/>
    <cellStyle name="Įprastas 5 2 2 2 5 3 4" xfId="2238" xr:uid="{8AA74390-F1BF-4191-9A11-6FBD0187F6CD}"/>
    <cellStyle name="Įprastas 5 2 2 2 5 3 4 2" xfId="4831" xr:uid="{6617908E-0D3B-42F1-8D2A-9D983C1A463D}"/>
    <cellStyle name="Įprastas 5 2 2 2 5 3 4_8 priedas" xfId="8428" xr:uid="{E7B3E289-13CB-43A6-8F40-C9244228021D}"/>
    <cellStyle name="Įprastas 5 2 2 2 5 3 5" xfId="6559" xr:uid="{D1A9E784-2F2A-4C6E-A283-B2029BD5F38C}"/>
    <cellStyle name="Įprastas 5 2 2 2 5 3 6" xfId="3103" xr:uid="{CB65B507-8F30-4884-A57C-C99D34C67238}"/>
    <cellStyle name="Įprastas 5 2 2 2 5 3_8 priedas" xfId="1155" xr:uid="{00000000-0005-0000-0000-00007A000000}"/>
    <cellStyle name="Įprastas 5 2 2 2 5 4" xfId="580" xr:uid="{00000000-0005-0000-0000-00007B000000}"/>
    <cellStyle name="Įprastas 5 2 2 2 5 4 2" xfId="1402" xr:uid="{89444226-3397-4AFC-A260-A468248FF4AA}"/>
    <cellStyle name="Įprastas 5 2 2 2 5 4 2 2" xfId="6185" xr:uid="{AB6F0E1A-900B-4BE3-BCB9-B6A7392F0539}"/>
    <cellStyle name="Įprastas 5 2 2 2 5 4 2 3" xfId="7913" xr:uid="{1FF0E2AD-6D58-437D-BA80-DCF1876E91A2}"/>
    <cellStyle name="Įprastas 5 2 2 2 5 4 2 4" xfId="4457" xr:uid="{5FC0D6DD-0888-4969-8674-D2579F5F8B85}"/>
    <cellStyle name="Įprastas 5 2 2 2 5 4 2_8 priedas" xfId="8430" xr:uid="{5C1575C3-9EE6-4B44-B9B4-22C07F9E3B2A}"/>
    <cellStyle name="Įprastas 5 2 2 2 5 4 3" xfId="2728" xr:uid="{2D0E7AE3-CB4A-44B4-9881-9CFBD48473BF}"/>
    <cellStyle name="Įprastas 5 2 2 2 5 4 3 2" xfId="5321" xr:uid="{340C99F3-072A-4C31-A520-2216741A9F98}"/>
    <cellStyle name="Įprastas 5 2 2 2 5 4 3_8 priedas" xfId="8431" xr:uid="{EABF73A0-BC95-4912-AB4C-678B76A8BB82}"/>
    <cellStyle name="Įprastas 5 2 2 2 5 4 4" xfId="7049" xr:uid="{D4F4E504-C5BC-41CC-8E1D-ACE553673F25}"/>
    <cellStyle name="Įprastas 5 2 2 2 5 4 5" xfId="3593" xr:uid="{18EC068D-4648-4922-AFD9-E20C23E18644}"/>
    <cellStyle name="Įprastas 5 2 2 2 5 4_8 priedas" xfId="8429" xr:uid="{6B5BF734-560C-482C-B707-B9592B825EDF}"/>
    <cellStyle name="Įprastas 5 2 2 2 5 5" xfId="1403" xr:uid="{66D0A327-C80F-4F28-9BD6-AF79C00A2C81}"/>
    <cellStyle name="Įprastas 5 2 2 2 5 5 2" xfId="5693" xr:uid="{E278C5C2-BB17-4740-8B4F-E7744798069B}"/>
    <cellStyle name="Įprastas 5 2 2 2 5 5 3" xfId="7421" xr:uid="{7611812E-FF18-4054-9E3B-811497CAE57D}"/>
    <cellStyle name="Įprastas 5 2 2 2 5 5 4" xfId="3965" xr:uid="{296ACE9A-C7D1-4CFD-A350-24A3BE8A4E70}"/>
    <cellStyle name="Įprastas 5 2 2 2 5 5_8 priedas" xfId="8432" xr:uid="{2F27C9DA-02AC-442F-87C8-C9E7D0A8F342}"/>
    <cellStyle name="Įprastas 5 2 2 2 5 6" xfId="2236" xr:uid="{F346827A-7ACB-4A05-A57A-26A14FACA6C3}"/>
    <cellStyle name="Įprastas 5 2 2 2 5 6 2" xfId="4829" xr:uid="{3450238F-B2F8-475A-B832-31AE22F3209C}"/>
    <cellStyle name="Įprastas 5 2 2 2 5 6_8 priedas" xfId="8433" xr:uid="{3991F347-C522-4A41-809A-6C65FC00BBF9}"/>
    <cellStyle name="Įprastas 5 2 2 2 5 7" xfId="6557" xr:uid="{87FC0DD6-CB01-4D48-B1EA-BCAC7CB5A6A0}"/>
    <cellStyle name="Įprastas 5 2 2 2 5 8" xfId="3101" xr:uid="{213976FD-9750-4A19-97F6-46C40E4A8C7C}"/>
    <cellStyle name="Įprastas 5 2 2 2 5_8 priedas" xfId="1067" xr:uid="{00000000-0005-0000-0000-00007C000000}"/>
    <cellStyle name="Įprastas 5 2 2 2 6" xfId="71" xr:uid="{00000000-0005-0000-0000-00007D000000}"/>
    <cellStyle name="Įprastas 5 2 2 2 6 2" xfId="628" xr:uid="{00000000-0005-0000-0000-00007E000000}"/>
    <cellStyle name="Įprastas 5 2 2 2 6 2 2" xfId="1404" xr:uid="{3A72A6F5-211A-4447-A983-A35241B1CD82}"/>
    <cellStyle name="Įprastas 5 2 2 2 6 2 2 2" xfId="6233" xr:uid="{E1801923-EC6D-42C5-9CB9-FE1904E5F060}"/>
    <cellStyle name="Įprastas 5 2 2 2 6 2 2 3" xfId="7961" xr:uid="{C9B03B6D-628A-4DA5-BC1C-9722F7A9193E}"/>
    <cellStyle name="Įprastas 5 2 2 2 6 2 2 4" xfId="4505" xr:uid="{36780C6A-A099-4C31-9F24-8382935B67AF}"/>
    <cellStyle name="Įprastas 5 2 2 2 6 2 2_8 priedas" xfId="8435" xr:uid="{246444DB-6A89-4B47-9A5B-286EEE0B29AC}"/>
    <cellStyle name="Įprastas 5 2 2 2 6 2 3" xfId="2776" xr:uid="{7016FB82-F317-4799-BD38-9F0881063603}"/>
    <cellStyle name="Įprastas 5 2 2 2 6 2 3 2" xfId="5369" xr:uid="{42070AC9-DA0C-4E20-83B4-8BA5D8E67F66}"/>
    <cellStyle name="Įprastas 5 2 2 2 6 2 3_8 priedas" xfId="8436" xr:uid="{8A713E67-E1F9-40F4-BCA6-8B5AD1CBBE3A}"/>
    <cellStyle name="Įprastas 5 2 2 2 6 2 4" xfId="7097" xr:uid="{C74174D6-67C7-4AC4-A8F3-94C61C382558}"/>
    <cellStyle name="Įprastas 5 2 2 2 6 2 5" xfId="3641" xr:uid="{58CE1BAD-EB8C-4E0C-A5F5-9B7CAA625719}"/>
    <cellStyle name="Įprastas 5 2 2 2 6 2_8 priedas" xfId="8434" xr:uid="{DD836FCB-4C12-443E-BB4E-CC4EB757A370}"/>
    <cellStyle name="Įprastas 5 2 2 2 6 3" xfId="1405" xr:uid="{08E6FC34-7436-452F-97AF-5159C0CB57DB}"/>
    <cellStyle name="Įprastas 5 2 2 2 6 3 2" xfId="5696" xr:uid="{6210633B-B28C-47D5-A88A-128D76B9B65F}"/>
    <cellStyle name="Įprastas 5 2 2 2 6 3 3" xfId="7424" xr:uid="{20B21FFA-F8A4-4215-813A-47C7243FCE98}"/>
    <cellStyle name="Įprastas 5 2 2 2 6 3 4" xfId="3968" xr:uid="{EAB382FE-959B-4EB0-9643-63CD7EC1D80A}"/>
    <cellStyle name="Įprastas 5 2 2 2 6 3_8 priedas" xfId="8437" xr:uid="{0CE09F13-2033-451C-967F-0E280473E2E4}"/>
    <cellStyle name="Įprastas 5 2 2 2 6 4" xfId="2239" xr:uid="{E7089CB2-1842-440C-8D13-5652B8E8B3E2}"/>
    <cellStyle name="Įprastas 5 2 2 2 6 4 2" xfId="4832" xr:uid="{0702904C-134F-4645-BE86-F49BEB32E987}"/>
    <cellStyle name="Įprastas 5 2 2 2 6 4_8 priedas" xfId="8438" xr:uid="{ECFDC84B-3B4F-4245-BABF-3DBC06CFBF7E}"/>
    <cellStyle name="Įprastas 5 2 2 2 6 5" xfId="6560" xr:uid="{726FD4BD-744D-42CE-9E7D-31EE31E005EA}"/>
    <cellStyle name="Įprastas 5 2 2 2 6 6" xfId="3104" xr:uid="{5507F96F-A1E4-4CC9-9DC8-E78EF208E14C}"/>
    <cellStyle name="Įprastas 5 2 2 2 6_8 priedas" xfId="1020" xr:uid="{00000000-0005-0000-0000-00007F000000}"/>
    <cellStyle name="Įprastas 5 2 2 2 7" xfId="72" xr:uid="{00000000-0005-0000-0000-000080000000}"/>
    <cellStyle name="Įprastas 5 2 2 2 7 2" xfId="772" xr:uid="{00000000-0005-0000-0000-000081000000}"/>
    <cellStyle name="Įprastas 5 2 2 2 7 2 2" xfId="1406" xr:uid="{FBA9A42E-F79D-42AC-AA6A-25BB5D7D01B9}"/>
    <cellStyle name="Įprastas 5 2 2 2 7 2 2 2" xfId="6377" xr:uid="{237F1A91-A95B-4D8B-B25C-2F261A2BD29C}"/>
    <cellStyle name="Įprastas 5 2 2 2 7 2 2 3" xfId="8105" xr:uid="{39C399BD-692B-4740-8F04-6534B6E11529}"/>
    <cellStyle name="Įprastas 5 2 2 2 7 2 2 4" xfId="4649" xr:uid="{A9B6B94D-552F-40AC-8780-BEC5FAC466E0}"/>
    <cellStyle name="Įprastas 5 2 2 2 7 2 2_8 priedas" xfId="8440" xr:uid="{55FD9039-D240-4480-AE4D-89C639915A95}"/>
    <cellStyle name="Įprastas 5 2 2 2 7 2 3" xfId="2920" xr:uid="{75B29E68-9E34-406B-919F-6BF8097CB0A5}"/>
    <cellStyle name="Įprastas 5 2 2 2 7 2 3 2" xfId="5513" xr:uid="{77C0CDCA-0355-4D68-B131-344AA68329E5}"/>
    <cellStyle name="Įprastas 5 2 2 2 7 2 3_8 priedas" xfId="8441" xr:uid="{E4FCF1D1-1FA3-4EE2-963A-67121EEC8A71}"/>
    <cellStyle name="Įprastas 5 2 2 2 7 2 4" xfId="7241" xr:uid="{FBB585D1-3825-4ACF-821A-EC920B76386E}"/>
    <cellStyle name="Įprastas 5 2 2 2 7 2 5" xfId="3785" xr:uid="{A64F967F-E76D-45D2-ADC0-C98494FFD67F}"/>
    <cellStyle name="Įprastas 5 2 2 2 7 2_8 priedas" xfId="8439" xr:uid="{B9310C2C-3B69-45CE-B99E-1F1226ADD4F0}"/>
    <cellStyle name="Įprastas 5 2 2 2 7 3" xfId="1407" xr:uid="{342E1E53-EE1C-4BD2-A504-26290E2CA9DF}"/>
    <cellStyle name="Įprastas 5 2 2 2 7 3 2" xfId="5697" xr:uid="{A3B8930D-4297-4170-B1D1-976A6486C304}"/>
    <cellStyle name="Įprastas 5 2 2 2 7 3 3" xfId="7425" xr:uid="{49CF2DAE-3647-4394-9FDD-43DD8664A4F1}"/>
    <cellStyle name="Įprastas 5 2 2 2 7 3 4" xfId="3969" xr:uid="{F59CA875-BF05-47C3-B82E-BC20CC18D840}"/>
    <cellStyle name="Įprastas 5 2 2 2 7 3_8 priedas" xfId="8442" xr:uid="{1D25E5D9-A362-4BF8-B938-5BBA9111A080}"/>
    <cellStyle name="Įprastas 5 2 2 2 7 4" xfId="2240" xr:uid="{B9724553-0911-4E25-913C-08A78E2EAE24}"/>
    <cellStyle name="Įprastas 5 2 2 2 7 4 2" xfId="4833" xr:uid="{CB07DD9D-2572-4FD2-AC56-73493A45D1F3}"/>
    <cellStyle name="Įprastas 5 2 2 2 7 4_8 priedas" xfId="8443" xr:uid="{75076440-9F06-4C08-B98F-8C8399C4B53E}"/>
    <cellStyle name="Įprastas 5 2 2 2 7 5" xfId="6561" xr:uid="{EA6AF62F-9C8F-495F-A00C-556912CA8961}"/>
    <cellStyle name="Įprastas 5 2 2 2 7 6" xfId="3105" xr:uid="{71A71DD1-A61D-46C0-9322-88498063942E}"/>
    <cellStyle name="Įprastas 5 2 2 2 7_8 priedas" xfId="1245" xr:uid="{00000000-0005-0000-0000-000082000000}"/>
    <cellStyle name="Įprastas 5 2 2 2 8" xfId="484" xr:uid="{00000000-0005-0000-0000-000083000000}"/>
    <cellStyle name="Įprastas 5 2 2 2 8 2" xfId="1408" xr:uid="{FE8758C2-B9E6-4269-954D-761B270E6749}"/>
    <cellStyle name="Įprastas 5 2 2 2 8 2 2" xfId="6089" xr:uid="{5522ACB3-5A8C-44A4-83C6-057715ECE249}"/>
    <cellStyle name="Įprastas 5 2 2 2 8 2 3" xfId="7817" xr:uid="{4A7005B8-F893-4065-9075-5EAAABEC7EC8}"/>
    <cellStyle name="Įprastas 5 2 2 2 8 2 4" xfId="4361" xr:uid="{C0F5D9D8-390D-4F16-8AD3-1E8A6F867B1A}"/>
    <cellStyle name="Įprastas 5 2 2 2 8 2_8 priedas" xfId="8445" xr:uid="{0A52D4C2-4CD4-4106-90B1-AB558DD6FB6D}"/>
    <cellStyle name="Įprastas 5 2 2 2 8 3" xfId="2632" xr:uid="{1541F289-2098-441D-9306-028721CB0C5B}"/>
    <cellStyle name="Įprastas 5 2 2 2 8 3 2" xfId="5225" xr:uid="{43093F5D-59EA-4893-BC34-9D709949B393}"/>
    <cellStyle name="Įprastas 5 2 2 2 8 3_8 priedas" xfId="8446" xr:uid="{06F3B43D-36A9-4942-AED1-80EEA8E2024E}"/>
    <cellStyle name="Įprastas 5 2 2 2 8 4" xfId="6953" xr:uid="{7F1848E8-E25C-4712-BF4D-BEC451079DEE}"/>
    <cellStyle name="Įprastas 5 2 2 2 8 5" xfId="3497" xr:uid="{F0A7A5DF-A122-4E1A-A038-D732FB41FE6A}"/>
    <cellStyle name="Įprastas 5 2 2 2 8_8 priedas" xfId="8444" xr:uid="{A2B289A5-CA85-4EEF-B41A-DD28A06C882D}"/>
    <cellStyle name="Įprastas 5 2 2 2 9" xfId="1409" xr:uid="{D40CC87A-BC37-434E-8A53-EFB3991E126F}"/>
    <cellStyle name="Įprastas 5 2 2 2 9 2" xfId="5657" xr:uid="{93F925A2-6C05-4E11-B373-CAE448CE335B}"/>
    <cellStyle name="Įprastas 5 2 2 2 9 3" xfId="7385" xr:uid="{F023A574-2393-4294-8280-15942E6DC4C0}"/>
    <cellStyle name="Įprastas 5 2 2 2 9 4" xfId="3929" xr:uid="{94D99CCC-C2BA-4648-8F91-4395F167D16D}"/>
    <cellStyle name="Įprastas 5 2 2 2 9_8 priedas" xfId="8447" xr:uid="{DE24A97E-4323-4240-9E16-E9F7149BD55C}"/>
    <cellStyle name="Įprastas 5 2 2 2_8 priedas" xfId="37" xr:uid="{00000000-0005-0000-0000-000084000000}"/>
    <cellStyle name="Įprastas 5 2 2 3" xfId="73" xr:uid="{00000000-0005-0000-0000-000085000000}"/>
    <cellStyle name="Įprastas 5 2 2 3 10" xfId="6562" xr:uid="{718A5B6C-6DD8-4743-BBB0-F9D47E6512E6}"/>
    <cellStyle name="Įprastas 5 2 2 3 11" xfId="3106" xr:uid="{35AD9C3B-B4D2-4F90-B274-E7E19FABFF45}"/>
    <cellStyle name="Įprastas 5 2 2 3 2" xfId="74" xr:uid="{00000000-0005-0000-0000-000086000000}"/>
    <cellStyle name="Įprastas 5 2 2 3 2 10" xfId="3107" xr:uid="{6DB434D1-234D-49E5-918C-FD37CE2274DF}"/>
    <cellStyle name="Įprastas 5 2 2 3 2 2" xfId="75" xr:uid="{00000000-0005-0000-0000-000087000000}"/>
    <cellStyle name="Įprastas 5 2 2 3 2 2 2" xfId="76" xr:uid="{00000000-0005-0000-0000-000088000000}"/>
    <cellStyle name="Įprastas 5 2 2 3 2 2 2 2" xfId="705" xr:uid="{00000000-0005-0000-0000-000089000000}"/>
    <cellStyle name="Įprastas 5 2 2 3 2 2 2 2 2" xfId="1410" xr:uid="{32A3D48D-E864-45F3-B07F-208F8C79208B}"/>
    <cellStyle name="Įprastas 5 2 2 3 2 2 2 2 2 2" xfId="6310" xr:uid="{CC32C3D7-794D-4504-9463-35E4A8AC4359}"/>
    <cellStyle name="Įprastas 5 2 2 3 2 2 2 2 2 3" xfId="8038" xr:uid="{5CA03D42-5322-40D2-90CC-5F2B63550664}"/>
    <cellStyle name="Įprastas 5 2 2 3 2 2 2 2 2 4" xfId="4582" xr:uid="{7F319A55-CDCE-4FE3-B8D4-23FABC7EDFD1}"/>
    <cellStyle name="Įprastas 5 2 2 3 2 2 2 2 2_8 priedas" xfId="8449" xr:uid="{BE1E725C-6DB0-4E2E-972C-63515C104260}"/>
    <cellStyle name="Įprastas 5 2 2 3 2 2 2 2 3" xfId="2853" xr:uid="{F30A96B0-06EB-499F-93DE-096A0D791B0E}"/>
    <cellStyle name="Įprastas 5 2 2 3 2 2 2 2 3 2" xfId="5446" xr:uid="{EBC12C18-F484-45A2-97A2-4CBA24DEB644}"/>
    <cellStyle name="Įprastas 5 2 2 3 2 2 2 2 3_8 priedas" xfId="8450" xr:uid="{6019B703-75DA-4B89-ABAD-2477FA3C3805}"/>
    <cellStyle name="Įprastas 5 2 2 3 2 2 2 2 4" xfId="7174" xr:uid="{9E8458CB-5FB6-42A8-A6B6-7D14C39ADEE1}"/>
    <cellStyle name="Įprastas 5 2 2 3 2 2 2 2 5" xfId="3718" xr:uid="{19D0F967-E74B-4643-8885-50CB5EA81A67}"/>
    <cellStyle name="Įprastas 5 2 2 3 2 2 2 2_8 priedas" xfId="8448" xr:uid="{32D8159A-9B5A-48D5-BD36-0EF77429FFC8}"/>
    <cellStyle name="Įprastas 5 2 2 3 2 2 2 3" xfId="1411" xr:uid="{60E39717-3E8B-4C92-80E4-D28FCED17191}"/>
    <cellStyle name="Įprastas 5 2 2 3 2 2 2 3 2" xfId="5701" xr:uid="{456C68B9-1AC3-4F78-B671-3BD4DDE6F1E6}"/>
    <cellStyle name="Įprastas 5 2 2 3 2 2 2 3 3" xfId="7429" xr:uid="{361F41BB-6B7E-4DF9-8E91-70892E340123}"/>
    <cellStyle name="Įprastas 5 2 2 3 2 2 2 3 4" xfId="3973" xr:uid="{A37431CD-4984-4134-A55A-C18FADA3749E}"/>
    <cellStyle name="Įprastas 5 2 2 3 2 2 2 3_8 priedas" xfId="8451" xr:uid="{8100FC61-B106-4D4B-925E-71D463D138DE}"/>
    <cellStyle name="Įprastas 5 2 2 3 2 2 2 4" xfId="2244" xr:uid="{C0DB9D16-10C3-4855-836C-E7618EF4CCCA}"/>
    <cellStyle name="Įprastas 5 2 2 3 2 2 2 4 2" xfId="4837" xr:uid="{3C9AF791-D1A8-41A8-9EE1-B5DFC3753D58}"/>
    <cellStyle name="Įprastas 5 2 2 3 2 2 2 4_8 priedas" xfId="8452" xr:uid="{40A680D0-CB09-4D6E-ADA8-373D9C428EF5}"/>
    <cellStyle name="Įprastas 5 2 2 3 2 2 2 5" xfId="6565" xr:uid="{E3D69F77-DCB7-40E7-A519-65393542C4BC}"/>
    <cellStyle name="Įprastas 5 2 2 3 2 2 2 6" xfId="3109" xr:uid="{52AD75CD-22A6-40CB-BEBB-C4E0026AF090}"/>
    <cellStyle name="Įprastas 5 2 2 3 2 2 2_8 priedas" xfId="1316" xr:uid="{00000000-0005-0000-0000-00008A000000}"/>
    <cellStyle name="Įprastas 5 2 2 3 2 2 3" xfId="77" xr:uid="{00000000-0005-0000-0000-00008B000000}"/>
    <cellStyle name="Įprastas 5 2 2 3 2 2 3 2" xfId="849" xr:uid="{00000000-0005-0000-0000-00008C000000}"/>
    <cellStyle name="Įprastas 5 2 2 3 2 2 3 2 2" xfId="1412" xr:uid="{E5A1E3B9-2C46-4867-9476-2ECEA27F2FF6}"/>
    <cellStyle name="Įprastas 5 2 2 3 2 2 3 2 2 2" xfId="6454" xr:uid="{00761A6B-7AA3-4112-8811-C85D8392462A}"/>
    <cellStyle name="Įprastas 5 2 2 3 2 2 3 2 2 3" xfId="8182" xr:uid="{BD8AAA28-8394-4AA9-90D4-371D3F0E6D51}"/>
    <cellStyle name="Įprastas 5 2 2 3 2 2 3 2 2 4" xfId="4726" xr:uid="{F76AF7B4-BB8D-4E04-AD83-6AEAC16471DB}"/>
    <cellStyle name="Įprastas 5 2 2 3 2 2 3 2 2_8 priedas" xfId="8454" xr:uid="{DAC06960-822A-46D6-9DE1-63E982FDB5AC}"/>
    <cellStyle name="Įprastas 5 2 2 3 2 2 3 2 3" xfId="2997" xr:uid="{4AA58C49-DD31-4548-8A3A-C77CC3BD3476}"/>
    <cellStyle name="Įprastas 5 2 2 3 2 2 3 2 3 2" xfId="5590" xr:uid="{BEF9F461-B3FD-44C9-83E1-41B2B28CF445}"/>
    <cellStyle name="Įprastas 5 2 2 3 2 2 3 2 3_8 priedas" xfId="8455" xr:uid="{46E9676C-606B-4B19-88BE-4D4C085FF012}"/>
    <cellStyle name="Įprastas 5 2 2 3 2 2 3 2 4" xfId="7318" xr:uid="{8CC30FDA-18BB-4C9E-A083-6DC45CB727DD}"/>
    <cellStyle name="Įprastas 5 2 2 3 2 2 3 2 5" xfId="3862" xr:uid="{04420598-E23F-4A51-AAEB-FE58280F738B}"/>
    <cellStyle name="Įprastas 5 2 2 3 2 2 3 2_8 priedas" xfId="8453" xr:uid="{7AFFC64C-005C-465E-B3DC-5168F8E31FEB}"/>
    <cellStyle name="Įprastas 5 2 2 3 2 2 3 3" xfId="1413" xr:uid="{9F5A7F11-EE09-4F29-BAC7-E335704579D7}"/>
    <cellStyle name="Įprastas 5 2 2 3 2 2 3 3 2" xfId="5702" xr:uid="{A103C372-C670-4A48-A7BF-2A52103E84D0}"/>
    <cellStyle name="Įprastas 5 2 2 3 2 2 3 3 3" xfId="7430" xr:uid="{563CAB03-B382-496F-99D3-E204B5B16916}"/>
    <cellStyle name="Įprastas 5 2 2 3 2 2 3 3 4" xfId="3974" xr:uid="{A0341B1C-ECC9-47E5-8197-AA7A671D1B9A}"/>
    <cellStyle name="Įprastas 5 2 2 3 2 2 3 3_8 priedas" xfId="8456" xr:uid="{BD4485EC-9E4D-4549-8370-9DFE3916C27C}"/>
    <cellStyle name="Įprastas 5 2 2 3 2 2 3 4" xfId="2245" xr:uid="{C1A2633A-1A51-46F0-9692-12E864586D75}"/>
    <cellStyle name="Įprastas 5 2 2 3 2 2 3 4 2" xfId="4838" xr:uid="{2448B7EA-43B7-40D5-A3D9-BFB897B17511}"/>
    <cellStyle name="Įprastas 5 2 2 3 2 2 3 4_8 priedas" xfId="8457" xr:uid="{781FDF26-31B5-49F3-B1FD-206E30B74229}"/>
    <cellStyle name="Įprastas 5 2 2 3 2 2 3 5" xfId="6566" xr:uid="{590C90B2-2341-4FAD-B6A6-71119A5EF166}"/>
    <cellStyle name="Įprastas 5 2 2 3 2 2 3 6" xfId="3110" xr:uid="{DFA83C89-1D04-4C46-BE10-71732DC0245B}"/>
    <cellStyle name="Įprastas 5 2 2 3 2 2 3_8 priedas" xfId="1179" xr:uid="{00000000-0005-0000-0000-00008D000000}"/>
    <cellStyle name="Įprastas 5 2 2 3 2 2 4" xfId="561" xr:uid="{00000000-0005-0000-0000-00008E000000}"/>
    <cellStyle name="Įprastas 5 2 2 3 2 2 4 2" xfId="1414" xr:uid="{6F0F4B4A-2397-4C9A-AE03-F624A8DB14E0}"/>
    <cellStyle name="Įprastas 5 2 2 3 2 2 4 2 2" xfId="6166" xr:uid="{5B61466A-5A56-4FB1-9BC3-457C663695BE}"/>
    <cellStyle name="Įprastas 5 2 2 3 2 2 4 2 3" xfId="7894" xr:uid="{0DC2FEF4-7C30-4994-8CF6-BA9B19EF7A84}"/>
    <cellStyle name="Įprastas 5 2 2 3 2 2 4 2 4" xfId="4438" xr:uid="{109AB17C-2B53-4890-A4D5-1D38078A872D}"/>
    <cellStyle name="Įprastas 5 2 2 3 2 2 4 2_8 priedas" xfId="8459" xr:uid="{CBDE9FF1-9F7E-4028-9951-A53BC9CF88CC}"/>
    <cellStyle name="Įprastas 5 2 2 3 2 2 4 3" xfId="2709" xr:uid="{D98753B2-E811-430A-8237-AAC5813680B4}"/>
    <cellStyle name="Įprastas 5 2 2 3 2 2 4 3 2" xfId="5302" xr:uid="{7188BE20-DD77-47E0-8DFF-FCEA1D6445D0}"/>
    <cellStyle name="Įprastas 5 2 2 3 2 2 4 3_8 priedas" xfId="8460" xr:uid="{192BAA8F-8F1E-4DF1-B218-D2433CF57B41}"/>
    <cellStyle name="Įprastas 5 2 2 3 2 2 4 4" xfId="7030" xr:uid="{5AFD6D70-21B3-4232-BA6D-B419FBBF4211}"/>
    <cellStyle name="Įprastas 5 2 2 3 2 2 4 5" xfId="3574" xr:uid="{0DA9A134-43AE-4D4F-A1DE-A38A04F613FC}"/>
    <cellStyle name="Įprastas 5 2 2 3 2 2 4_8 priedas" xfId="8458" xr:uid="{D5EE275A-F616-416E-B486-971C508584BA}"/>
    <cellStyle name="Įprastas 5 2 2 3 2 2 5" xfId="1415" xr:uid="{3D07F2DA-EE62-4195-800F-402D8B3774FA}"/>
    <cellStyle name="Įprastas 5 2 2 3 2 2 5 2" xfId="5700" xr:uid="{A413CBEF-203C-4020-8361-9A6A76A81689}"/>
    <cellStyle name="Įprastas 5 2 2 3 2 2 5 3" xfId="7428" xr:uid="{3F55986F-59E6-4DB1-AAF8-C873C558BD0B}"/>
    <cellStyle name="Įprastas 5 2 2 3 2 2 5 4" xfId="3972" xr:uid="{925459B7-547D-42D7-8959-98A1FE687644}"/>
    <cellStyle name="Įprastas 5 2 2 3 2 2 5_8 priedas" xfId="8461" xr:uid="{3CD20077-AC14-4479-A39E-318CAF5E9F0D}"/>
    <cellStyle name="Įprastas 5 2 2 3 2 2 6" xfId="2243" xr:uid="{13BB8386-C54C-4018-BE81-177D6DD8A8DE}"/>
    <cellStyle name="Įprastas 5 2 2 3 2 2 6 2" xfId="4836" xr:uid="{61CB4571-0E5B-4E92-B838-DA004C8AE4E7}"/>
    <cellStyle name="Įprastas 5 2 2 3 2 2 6_8 priedas" xfId="8462" xr:uid="{8A9C9325-0646-43AD-BEF4-67A6F615D239}"/>
    <cellStyle name="Įprastas 5 2 2 3 2 2 7" xfId="6564" xr:uid="{C4D4B1D5-6898-40F5-B5A2-8515FA64B9F5}"/>
    <cellStyle name="Įprastas 5 2 2 3 2 2 8" xfId="3108" xr:uid="{7D752977-9BDA-4FF2-9413-128F31DDF7BC}"/>
    <cellStyle name="Įprastas 5 2 2 3 2 2_8 priedas" xfId="1091" xr:uid="{00000000-0005-0000-0000-00008F000000}"/>
    <cellStyle name="Įprastas 5 2 2 3 2 3" xfId="78" xr:uid="{00000000-0005-0000-0000-000090000000}"/>
    <cellStyle name="Įprastas 5 2 2 3 2 3 2" xfId="79" xr:uid="{00000000-0005-0000-0000-000091000000}"/>
    <cellStyle name="Įprastas 5 2 2 3 2 3 2 2" xfId="753" xr:uid="{00000000-0005-0000-0000-000092000000}"/>
    <cellStyle name="Įprastas 5 2 2 3 2 3 2 2 2" xfId="1416" xr:uid="{ED48E5AA-406B-407B-BA78-62E9CAF15415}"/>
    <cellStyle name="Įprastas 5 2 2 3 2 3 2 2 2 2" xfId="6358" xr:uid="{0F65E031-553B-4734-BF3A-66B175FC3F3F}"/>
    <cellStyle name="Įprastas 5 2 2 3 2 3 2 2 2 3" xfId="8086" xr:uid="{B055A517-3516-4B9B-B1F3-B6B7BA4E99F6}"/>
    <cellStyle name="Įprastas 5 2 2 3 2 3 2 2 2 4" xfId="4630" xr:uid="{73D81D1B-909A-4E6B-A015-AB7B469CBBFB}"/>
    <cellStyle name="Įprastas 5 2 2 3 2 3 2 2 2_8 priedas" xfId="8464" xr:uid="{92F16CBC-09BE-41F2-9155-05A834C812EC}"/>
    <cellStyle name="Įprastas 5 2 2 3 2 3 2 2 3" xfId="2901" xr:uid="{FF2C3844-FC06-4548-8F58-A843789B5E88}"/>
    <cellStyle name="Įprastas 5 2 2 3 2 3 2 2 3 2" xfId="5494" xr:uid="{010E6DBA-B271-44F6-B1F0-24810CECED95}"/>
    <cellStyle name="Įprastas 5 2 2 3 2 3 2 2 3_8 priedas" xfId="8465" xr:uid="{7A910A4F-BA61-4537-B1EC-DE1638200E27}"/>
    <cellStyle name="Įprastas 5 2 2 3 2 3 2 2 4" xfId="7222" xr:uid="{1C96EA4C-89FC-4C7A-BEA9-D65DA7E60595}"/>
    <cellStyle name="Įprastas 5 2 2 3 2 3 2 2 5" xfId="3766" xr:uid="{17240212-A8FE-4648-A5E1-38CE4E5D7D51}"/>
    <cellStyle name="Įprastas 5 2 2 3 2 3 2 2_8 priedas" xfId="8463" xr:uid="{34BE2F9B-8A56-4346-876E-F331728ED29C}"/>
    <cellStyle name="Įprastas 5 2 2 3 2 3 2 3" xfId="1417" xr:uid="{16E27804-D28B-46AC-99C1-B3746EEC66BA}"/>
    <cellStyle name="Įprastas 5 2 2 3 2 3 2 3 2" xfId="5704" xr:uid="{95DED101-4C60-41E6-A6C6-228886B5463F}"/>
    <cellStyle name="Įprastas 5 2 2 3 2 3 2 3 3" xfId="7432" xr:uid="{24E65734-08F5-46C6-99DC-91957F60380C}"/>
    <cellStyle name="Įprastas 5 2 2 3 2 3 2 3 4" xfId="3976" xr:uid="{5FF5B931-8479-4159-A614-47E0426CA1B0}"/>
    <cellStyle name="Įprastas 5 2 2 3 2 3 2 3_8 priedas" xfId="8466" xr:uid="{3C788D9C-D09B-4ADB-9EF3-F92A2A2DAFFA}"/>
    <cellStyle name="Įprastas 5 2 2 3 2 3 2 4" xfId="2247" xr:uid="{F84A1943-399A-4B3D-B6FD-388448BD3153}"/>
    <cellStyle name="Įprastas 5 2 2 3 2 3 2 4 2" xfId="4840" xr:uid="{59B99752-FDF5-4254-82B2-14A82A3AA2DA}"/>
    <cellStyle name="Įprastas 5 2 2 3 2 3 2 4_8 priedas" xfId="8467" xr:uid="{D4C7E37D-8CCF-4D42-ADEE-AA31BCE0226D}"/>
    <cellStyle name="Įprastas 5 2 2 3 2 3 2 5" xfId="6568" xr:uid="{2B1FFDA0-C213-4030-B6A1-667AA0B81D12}"/>
    <cellStyle name="Įprastas 5 2 2 3 2 3 2 6" xfId="3112" xr:uid="{4ADBD643-7A5B-43B5-BBA5-E867856E0073}"/>
    <cellStyle name="Įprastas 5 2 2 3 2 3 2_8 priedas" xfId="1267" xr:uid="{00000000-0005-0000-0000-000093000000}"/>
    <cellStyle name="Įprastas 5 2 2 3 2 3 3" xfId="80" xr:uid="{00000000-0005-0000-0000-000094000000}"/>
    <cellStyle name="Įprastas 5 2 2 3 2 3 3 2" xfId="897" xr:uid="{00000000-0005-0000-0000-000095000000}"/>
    <cellStyle name="Įprastas 5 2 2 3 2 3 3 2 2" xfId="1418" xr:uid="{EBA5D70D-D57B-44E7-9E7B-7D6CC1B4AE9D}"/>
    <cellStyle name="Įprastas 5 2 2 3 2 3 3 2 2 2" xfId="6502" xr:uid="{9F440AF3-58A9-4539-B484-1C99BAF1063D}"/>
    <cellStyle name="Įprastas 5 2 2 3 2 3 3 2 2 3" xfId="8230" xr:uid="{EE9BEDFB-86FF-4596-A51F-67CE86FFECF9}"/>
    <cellStyle name="Įprastas 5 2 2 3 2 3 3 2 2 4" xfId="4774" xr:uid="{4A99E172-5A6A-4785-8A2B-E7B18EF2A919}"/>
    <cellStyle name="Įprastas 5 2 2 3 2 3 3 2 2_8 priedas" xfId="8469" xr:uid="{381ED401-C284-415F-8C22-E8A8F083B484}"/>
    <cellStyle name="Įprastas 5 2 2 3 2 3 3 2 3" xfId="3045" xr:uid="{BBBAFEBF-090F-497E-BF29-924B96F68F61}"/>
    <cellStyle name="Įprastas 5 2 2 3 2 3 3 2 3 2" xfId="5638" xr:uid="{05134002-E0BE-4684-A672-C2180466EAE3}"/>
    <cellStyle name="Įprastas 5 2 2 3 2 3 3 2 3_8 priedas" xfId="8470" xr:uid="{A76B5BE6-C5D6-4747-B33F-793022293276}"/>
    <cellStyle name="Įprastas 5 2 2 3 2 3 3 2 4" xfId="7366" xr:uid="{AB3E833D-1CD6-4E1A-BFF3-C1CBD63E7D2A}"/>
    <cellStyle name="Įprastas 5 2 2 3 2 3 3 2 5" xfId="3910" xr:uid="{1BFC35CE-FC41-440D-8BA6-AAA3F3E18A9E}"/>
    <cellStyle name="Įprastas 5 2 2 3 2 3 3 2_8 priedas" xfId="8468" xr:uid="{ADEA01F9-7728-419E-A535-A3D9E829159A}"/>
    <cellStyle name="Įprastas 5 2 2 3 2 3 3 3" xfId="1419" xr:uid="{4A9DEBAF-8781-4640-9131-7FC5B1663ADE}"/>
    <cellStyle name="Įprastas 5 2 2 3 2 3 3 3 2" xfId="5705" xr:uid="{BEDF999D-CBE9-4827-833F-90A807B4179C}"/>
    <cellStyle name="Įprastas 5 2 2 3 2 3 3 3 3" xfId="7433" xr:uid="{9358D059-F654-44D7-8BFD-14FDA39D424F}"/>
    <cellStyle name="Įprastas 5 2 2 3 2 3 3 3 4" xfId="3977" xr:uid="{872DDFBB-B774-41E7-94AD-17159EBC6ADD}"/>
    <cellStyle name="Įprastas 5 2 2 3 2 3 3 3_8 priedas" xfId="8471" xr:uid="{D22F08AA-FA45-4FF0-93A3-E9319FBCA84A}"/>
    <cellStyle name="Įprastas 5 2 2 3 2 3 3 4" xfId="2248" xr:uid="{B6870405-DFE4-40DB-948F-0A4288EEF354}"/>
    <cellStyle name="Įprastas 5 2 2 3 2 3 3 4 2" xfId="4841" xr:uid="{A27A618E-DC07-4EC3-B93C-19A05006D4C6}"/>
    <cellStyle name="Įprastas 5 2 2 3 2 3 3 4_8 priedas" xfId="8472" xr:uid="{1676B03B-44F6-4F77-A5B0-6EE527FD37AE}"/>
    <cellStyle name="Įprastas 5 2 2 3 2 3 3 5" xfId="6569" xr:uid="{A0F4CB2C-FF15-49FF-A7E6-492D82C992D5}"/>
    <cellStyle name="Įprastas 5 2 2 3 2 3 3 6" xfId="3113" xr:uid="{1F7A7A1A-5243-4F3F-9F21-17CABA4A02B0}"/>
    <cellStyle name="Įprastas 5 2 2 3 2 3 3_8 priedas" xfId="1131" xr:uid="{00000000-0005-0000-0000-000096000000}"/>
    <cellStyle name="Įprastas 5 2 2 3 2 3 4" xfId="609" xr:uid="{00000000-0005-0000-0000-000097000000}"/>
    <cellStyle name="Įprastas 5 2 2 3 2 3 4 2" xfId="1420" xr:uid="{1FD950BC-21F4-4DDA-8B96-A50A07EF32BF}"/>
    <cellStyle name="Įprastas 5 2 2 3 2 3 4 2 2" xfId="6214" xr:uid="{E6D7228C-6E05-4C44-8945-687A618BD405}"/>
    <cellStyle name="Įprastas 5 2 2 3 2 3 4 2 3" xfId="7942" xr:uid="{9615E78F-2D21-4E60-9B11-2E91F68BA04C}"/>
    <cellStyle name="Įprastas 5 2 2 3 2 3 4 2 4" xfId="4486" xr:uid="{963A72FA-9379-4029-80CB-5000CADF4E22}"/>
    <cellStyle name="Įprastas 5 2 2 3 2 3 4 2_8 priedas" xfId="8474" xr:uid="{E72E287F-EDA0-4FE1-A8C5-CFA2F7C755F1}"/>
    <cellStyle name="Įprastas 5 2 2 3 2 3 4 3" xfId="2757" xr:uid="{EA01F804-3BE9-4755-A557-73531E581285}"/>
    <cellStyle name="Įprastas 5 2 2 3 2 3 4 3 2" xfId="5350" xr:uid="{6E378843-F42A-43E9-B616-94296145CE49}"/>
    <cellStyle name="Įprastas 5 2 2 3 2 3 4 3_8 priedas" xfId="8475" xr:uid="{22BEC605-4693-4CA1-BE95-BABA87D3CC11}"/>
    <cellStyle name="Įprastas 5 2 2 3 2 3 4 4" xfId="7078" xr:uid="{22ECBB44-D5D5-44FA-BB23-0DDA2C304027}"/>
    <cellStyle name="Įprastas 5 2 2 3 2 3 4 5" xfId="3622" xr:uid="{8A3F25A2-1E2C-4C20-BFD3-856B6F86FC4B}"/>
    <cellStyle name="Įprastas 5 2 2 3 2 3 4_8 priedas" xfId="8473" xr:uid="{4DEED3A6-70EF-4EF7-A0BB-C19EDCCE207F}"/>
    <cellStyle name="Įprastas 5 2 2 3 2 3 5" xfId="1421" xr:uid="{6B8DF311-C6D8-4F72-A2D8-C3B29E16A158}"/>
    <cellStyle name="Įprastas 5 2 2 3 2 3 5 2" xfId="5703" xr:uid="{AC22DB83-24A6-4288-8129-88A01A3B37BF}"/>
    <cellStyle name="Įprastas 5 2 2 3 2 3 5 3" xfId="7431" xr:uid="{27B1FC09-C9BF-4567-8EC4-627ED8A922F5}"/>
    <cellStyle name="Įprastas 5 2 2 3 2 3 5 4" xfId="3975" xr:uid="{2E96FDEF-5C68-443E-82BF-DA4815DFA357}"/>
    <cellStyle name="Įprastas 5 2 2 3 2 3 5_8 priedas" xfId="8476" xr:uid="{68CD422A-AF9E-4A54-8326-CA47D0907DE4}"/>
    <cellStyle name="Įprastas 5 2 2 3 2 3 6" xfId="2246" xr:uid="{B0FDD936-C566-4D19-A4B1-6E2BDF74A2ED}"/>
    <cellStyle name="Įprastas 5 2 2 3 2 3 6 2" xfId="4839" xr:uid="{129DB23B-7220-4595-AA88-8849984BE348}"/>
    <cellStyle name="Įprastas 5 2 2 3 2 3 6_8 priedas" xfId="8477" xr:uid="{81C64BC0-BD2C-42CA-866E-D4818049A14F}"/>
    <cellStyle name="Įprastas 5 2 2 3 2 3 7" xfId="6567" xr:uid="{DAC54583-E1CE-4524-AB4C-FDF0B115B593}"/>
    <cellStyle name="Įprastas 5 2 2 3 2 3 8" xfId="3111" xr:uid="{03364797-E70F-424A-BA44-8DDE656E995E}"/>
    <cellStyle name="Įprastas 5 2 2 3 2 3_8 priedas" xfId="1043" xr:uid="{00000000-0005-0000-0000-000098000000}"/>
    <cellStyle name="Įprastas 5 2 2 3 2 4" xfId="81" xr:uid="{00000000-0005-0000-0000-000099000000}"/>
    <cellStyle name="Įprastas 5 2 2 3 2 4 2" xfId="657" xr:uid="{00000000-0005-0000-0000-00009A000000}"/>
    <cellStyle name="Įprastas 5 2 2 3 2 4 2 2" xfId="1422" xr:uid="{C9EBC305-8424-41C5-8365-5673622FE8A6}"/>
    <cellStyle name="Įprastas 5 2 2 3 2 4 2 2 2" xfId="6262" xr:uid="{43F3C450-9D89-4172-888F-96BC3F6D0FE5}"/>
    <cellStyle name="Įprastas 5 2 2 3 2 4 2 2 3" xfId="7990" xr:uid="{7BD91594-480B-4EA3-828E-57268CB577B0}"/>
    <cellStyle name="Įprastas 5 2 2 3 2 4 2 2 4" xfId="4534" xr:uid="{7F7927DF-9051-4108-B4D5-527272D66F20}"/>
    <cellStyle name="Įprastas 5 2 2 3 2 4 2 2_8 priedas" xfId="8479" xr:uid="{449334D1-3900-4F68-BF6F-FA8F6607F3A5}"/>
    <cellStyle name="Įprastas 5 2 2 3 2 4 2 3" xfId="2805" xr:uid="{D3B72326-A4F9-4321-8095-4C4101E692F4}"/>
    <cellStyle name="Įprastas 5 2 2 3 2 4 2 3 2" xfId="5398" xr:uid="{8214001A-0124-4B24-A219-D06AD69F1836}"/>
    <cellStyle name="Įprastas 5 2 2 3 2 4 2 3_8 priedas" xfId="8480" xr:uid="{4FF3F029-BFE7-40A9-B89F-3E14554FEF87}"/>
    <cellStyle name="Įprastas 5 2 2 3 2 4 2 4" xfId="7126" xr:uid="{B6AB540E-FC8B-4FF4-A5C6-14206F852417}"/>
    <cellStyle name="Įprastas 5 2 2 3 2 4 2 5" xfId="3670" xr:uid="{FAAF71E5-DAFD-4DE0-A6D1-1B89F7E82CAC}"/>
    <cellStyle name="Įprastas 5 2 2 3 2 4 2_8 priedas" xfId="8478" xr:uid="{AE0C35C1-F557-4A81-8D78-C1129A0FA396}"/>
    <cellStyle name="Įprastas 5 2 2 3 2 4 3" xfId="1423" xr:uid="{ACEBA5FD-71BB-499E-8BB6-5726D1BAE4CE}"/>
    <cellStyle name="Įprastas 5 2 2 3 2 4 3 2" xfId="5706" xr:uid="{9DC72B66-C43A-4237-97A2-1546AB296D6F}"/>
    <cellStyle name="Įprastas 5 2 2 3 2 4 3 3" xfId="7434" xr:uid="{1B1275D2-9CD2-4B1A-9921-738841148479}"/>
    <cellStyle name="Įprastas 5 2 2 3 2 4 3 4" xfId="3978" xr:uid="{E02B9DEF-E552-4B7A-8199-C9DBF0C91010}"/>
    <cellStyle name="Įprastas 5 2 2 3 2 4 3_8 priedas" xfId="8481" xr:uid="{F57BCAE5-DA22-4886-95F1-547844F9A8FC}"/>
    <cellStyle name="Įprastas 5 2 2 3 2 4 4" xfId="2249" xr:uid="{1985A55C-575D-4BBA-9E2C-996EEB041B42}"/>
    <cellStyle name="Įprastas 5 2 2 3 2 4 4 2" xfId="4842" xr:uid="{DFA4852D-48F0-4D06-9FBD-27CFB91FD890}"/>
    <cellStyle name="Įprastas 5 2 2 3 2 4 4_8 priedas" xfId="8482" xr:uid="{94738FB8-3E65-4B1B-9E24-9DF52965D99F}"/>
    <cellStyle name="Įprastas 5 2 2 3 2 4 5" xfId="6570" xr:uid="{EB2C0BCA-BFEE-408D-8341-AFCB95CCAA59}"/>
    <cellStyle name="Įprastas 5 2 2 3 2 4 6" xfId="3114" xr:uid="{1C1177FE-008E-4D43-B25A-784EED896AFA}"/>
    <cellStyle name="Įprastas 5 2 2 3 2 4_8 priedas" xfId="995" xr:uid="{00000000-0005-0000-0000-00009B000000}"/>
    <cellStyle name="Įprastas 5 2 2 3 2 5" xfId="82" xr:uid="{00000000-0005-0000-0000-00009C000000}"/>
    <cellStyle name="Įprastas 5 2 2 3 2 5 2" xfId="801" xr:uid="{00000000-0005-0000-0000-00009D000000}"/>
    <cellStyle name="Įprastas 5 2 2 3 2 5 2 2" xfId="1424" xr:uid="{76C598D7-EDEB-4780-9A23-9C6B31E8832A}"/>
    <cellStyle name="Įprastas 5 2 2 3 2 5 2 2 2" xfId="6406" xr:uid="{DB9DB278-94CF-4932-A9BA-DE59C2914A15}"/>
    <cellStyle name="Įprastas 5 2 2 3 2 5 2 2 3" xfId="8134" xr:uid="{CA7CE8DA-73BD-4124-A807-E31648606179}"/>
    <cellStyle name="Įprastas 5 2 2 3 2 5 2 2 4" xfId="4678" xr:uid="{5DA02DDB-0BCE-43DB-95D2-A286F5BBDE8F}"/>
    <cellStyle name="Įprastas 5 2 2 3 2 5 2 2_8 priedas" xfId="8484" xr:uid="{8077DFAF-8E2E-4617-994C-C0E1F0E91B6B}"/>
    <cellStyle name="Įprastas 5 2 2 3 2 5 2 3" xfId="2949" xr:uid="{7966743A-7E72-4ECF-8352-196E8DE3BB8F}"/>
    <cellStyle name="Įprastas 5 2 2 3 2 5 2 3 2" xfId="5542" xr:uid="{DA902A64-644B-4A01-9D4E-0D4E1B9AF4B3}"/>
    <cellStyle name="Įprastas 5 2 2 3 2 5 2 3_8 priedas" xfId="8485" xr:uid="{B979F08B-6056-4BC5-AB15-AFB543F824C9}"/>
    <cellStyle name="Įprastas 5 2 2 3 2 5 2 4" xfId="7270" xr:uid="{89F5B2D6-CA8B-4597-8922-1E3E81839848}"/>
    <cellStyle name="Įprastas 5 2 2 3 2 5 2 5" xfId="3814" xr:uid="{9B08FF33-5BB9-44A4-964C-189AB54670BD}"/>
    <cellStyle name="Įprastas 5 2 2 3 2 5 2_8 priedas" xfId="8483" xr:uid="{6B692597-1B73-48C3-BD1E-87ECA25A3F61}"/>
    <cellStyle name="Įprastas 5 2 2 3 2 5 3" xfId="1425" xr:uid="{CD34FB0A-92E3-49BA-A793-A19254BAB473}"/>
    <cellStyle name="Įprastas 5 2 2 3 2 5 3 2" xfId="5707" xr:uid="{44FCBE0E-A9A1-4FA8-AF0C-7553622333DC}"/>
    <cellStyle name="Įprastas 5 2 2 3 2 5 3 3" xfId="7435" xr:uid="{38C3D7E3-5DC7-4993-B268-5714D83CB746}"/>
    <cellStyle name="Įprastas 5 2 2 3 2 5 3 4" xfId="3979" xr:uid="{71666376-2F2D-4A13-8C4B-854F44391C5A}"/>
    <cellStyle name="Įprastas 5 2 2 3 2 5 3_8 priedas" xfId="8486" xr:uid="{F64EB882-ABB6-463A-8CED-682890CD5E26}"/>
    <cellStyle name="Įprastas 5 2 2 3 2 5 4" xfId="2250" xr:uid="{A2DBE422-C429-48F4-A021-3B213A4995F3}"/>
    <cellStyle name="Įprastas 5 2 2 3 2 5 4 2" xfId="4843" xr:uid="{EED5899B-3FCE-4EA7-B2F5-2D61B786F58D}"/>
    <cellStyle name="Įprastas 5 2 2 3 2 5 4_8 priedas" xfId="8487" xr:uid="{64EA5EE0-4D54-4A34-8199-A1C0A7B6BB96}"/>
    <cellStyle name="Įprastas 5 2 2 3 2 5 5" xfId="6571" xr:uid="{3ED2F1B8-D0E8-4F04-BC9B-9A61497F17D8}"/>
    <cellStyle name="Įprastas 5 2 2 3 2 5 6" xfId="3115" xr:uid="{C5CEB142-09A3-49CB-B5D8-A1E87B11FAFC}"/>
    <cellStyle name="Įprastas 5 2 2 3 2 5_8 priedas" xfId="954" xr:uid="{00000000-0005-0000-0000-00009E000000}"/>
    <cellStyle name="Įprastas 5 2 2 3 2 6" xfId="513" xr:uid="{00000000-0005-0000-0000-00009F000000}"/>
    <cellStyle name="Įprastas 5 2 2 3 2 6 2" xfId="1426" xr:uid="{A547CF7A-F6E3-4073-B48F-C9956BE8231B}"/>
    <cellStyle name="Įprastas 5 2 2 3 2 6 2 2" xfId="6118" xr:uid="{46E67418-CAB0-4B38-B95D-6405CE147CC5}"/>
    <cellStyle name="Įprastas 5 2 2 3 2 6 2 3" xfId="7846" xr:uid="{FBDC72F8-9B54-4EE0-BF59-C7BCB9CCC19F}"/>
    <cellStyle name="Įprastas 5 2 2 3 2 6 2 4" xfId="4390" xr:uid="{4117EA3D-5E91-4A98-B440-7ABDD1567115}"/>
    <cellStyle name="Įprastas 5 2 2 3 2 6 2_8 priedas" xfId="8489" xr:uid="{8E757969-B664-4D3C-B63B-1F1C8B8F942E}"/>
    <cellStyle name="Įprastas 5 2 2 3 2 6 3" xfId="2661" xr:uid="{8808C717-E27B-4C49-BBD1-379F24F7A8C8}"/>
    <cellStyle name="Įprastas 5 2 2 3 2 6 3 2" xfId="5254" xr:uid="{C007DD9B-814D-4ACE-988C-CA6111CA48BF}"/>
    <cellStyle name="Įprastas 5 2 2 3 2 6 3_8 priedas" xfId="8490" xr:uid="{4064BD7A-E366-411D-8125-AD8C82ACE8B0}"/>
    <cellStyle name="Įprastas 5 2 2 3 2 6 4" xfId="6982" xr:uid="{A1514455-970F-4E07-93C1-CDB04DAED790}"/>
    <cellStyle name="Įprastas 5 2 2 3 2 6 5" xfId="3526" xr:uid="{7C20C6BB-3263-440C-A8B2-4FFA86CEB4EE}"/>
    <cellStyle name="Įprastas 5 2 2 3 2 6_8 priedas" xfId="8488" xr:uid="{C791C246-ED71-4D8A-9788-C68E4A480C63}"/>
    <cellStyle name="Įprastas 5 2 2 3 2 7" xfId="1427" xr:uid="{80A2E3DB-1478-4DA7-8819-65D099D25927}"/>
    <cellStyle name="Įprastas 5 2 2 3 2 7 2" xfId="5699" xr:uid="{55EF4B03-456B-45E8-80E1-8DF91EF128CC}"/>
    <cellStyle name="Įprastas 5 2 2 3 2 7 3" xfId="7427" xr:uid="{6DFD5232-5207-4A8E-ADD6-7A7EDB1493FD}"/>
    <cellStyle name="Įprastas 5 2 2 3 2 7 4" xfId="3971" xr:uid="{66025EC4-8E5F-4AC3-9CDB-1D59AF4BDE37}"/>
    <cellStyle name="Įprastas 5 2 2 3 2 7_8 priedas" xfId="8491" xr:uid="{4FDCF72A-BFF3-4FE4-BD8F-0CF0E0341E7D}"/>
    <cellStyle name="Įprastas 5 2 2 3 2 8" xfId="2242" xr:uid="{24DE6904-8DE8-4112-BD2F-42BF3025DB8B}"/>
    <cellStyle name="Įprastas 5 2 2 3 2 8 2" xfId="4835" xr:uid="{15424627-06C0-4710-959A-AD255EDE7BF3}"/>
    <cellStyle name="Įprastas 5 2 2 3 2 8_8 priedas" xfId="8492" xr:uid="{4E48FC74-6E92-4479-A880-B6D8867998AB}"/>
    <cellStyle name="Įprastas 5 2 2 3 2 9" xfId="6563" xr:uid="{CFF6C37C-6C13-419C-B240-6026AD90240B}"/>
    <cellStyle name="Įprastas 5 2 2 3 2_8 priedas" xfId="1225" xr:uid="{00000000-0005-0000-0000-0000A0000000}"/>
    <cellStyle name="Įprastas 5 2 2 3 3" xfId="83" xr:uid="{00000000-0005-0000-0000-0000A1000000}"/>
    <cellStyle name="Įprastas 5 2 2 3 3 2" xfId="84" xr:uid="{00000000-0005-0000-0000-0000A2000000}"/>
    <cellStyle name="Įprastas 5 2 2 3 3 2 2" xfId="681" xr:uid="{00000000-0005-0000-0000-0000A3000000}"/>
    <cellStyle name="Įprastas 5 2 2 3 3 2 2 2" xfId="1428" xr:uid="{D071C76A-50E5-4C82-B8CB-5C55B94DCFCE}"/>
    <cellStyle name="Įprastas 5 2 2 3 3 2 2 2 2" xfId="6286" xr:uid="{2C19B854-DBAF-4BB9-A30B-1E6BCAD4C816}"/>
    <cellStyle name="Įprastas 5 2 2 3 3 2 2 2 3" xfId="8014" xr:uid="{01689CE1-7826-4118-9FB4-C15AB4F000F5}"/>
    <cellStyle name="Įprastas 5 2 2 3 3 2 2 2 4" xfId="4558" xr:uid="{66819452-9CAD-4EEB-83ED-18438C57AA39}"/>
    <cellStyle name="Įprastas 5 2 2 3 3 2 2 2_8 priedas" xfId="8494" xr:uid="{E10754A8-F524-42EB-B359-102ACAD02D00}"/>
    <cellStyle name="Įprastas 5 2 2 3 3 2 2 3" xfId="2829" xr:uid="{F48B23BA-A95D-487C-9410-E308F56186AA}"/>
    <cellStyle name="Įprastas 5 2 2 3 3 2 2 3 2" xfId="5422" xr:uid="{D35B4868-5737-4738-9EFB-639F69522A41}"/>
    <cellStyle name="Įprastas 5 2 2 3 3 2 2 3_8 priedas" xfId="8495" xr:uid="{B6F7B1CF-B6BF-4C42-AE7A-254F7AB0DAB5}"/>
    <cellStyle name="Įprastas 5 2 2 3 3 2 2 4" xfId="7150" xr:uid="{7C14C6BC-596B-43EC-91D0-0FB348145AA1}"/>
    <cellStyle name="Įprastas 5 2 2 3 3 2 2 5" xfId="3694" xr:uid="{79C59C10-7E50-4ABE-8434-894ABF4CEDD7}"/>
    <cellStyle name="Įprastas 5 2 2 3 3 2 2_8 priedas" xfId="8493" xr:uid="{5A7EC3BC-EC29-4C0C-9301-0C6DEA5FB10B}"/>
    <cellStyle name="Įprastas 5 2 2 3 3 2 3" xfId="1429" xr:uid="{C2409C2F-0286-4B5D-A9D4-82B909AA9F82}"/>
    <cellStyle name="Įprastas 5 2 2 3 3 2 3 2" xfId="5709" xr:uid="{35F34461-FB35-40EE-AEC9-4323DC44DCCB}"/>
    <cellStyle name="Įprastas 5 2 2 3 3 2 3 3" xfId="7437" xr:uid="{A9A912A0-C8FD-4858-A146-95C0A8FCCB52}"/>
    <cellStyle name="Įprastas 5 2 2 3 3 2 3 4" xfId="3981" xr:uid="{88CCDF7B-3F68-4AB6-AB46-B5CDBC0160C9}"/>
    <cellStyle name="Įprastas 5 2 2 3 3 2 3_8 priedas" xfId="8496" xr:uid="{D80ADD98-60D3-472A-92B8-C3A7797931CA}"/>
    <cellStyle name="Įprastas 5 2 2 3 3 2 4" xfId="2252" xr:uid="{5438227F-64CE-47B7-978F-705FF5722EED}"/>
    <cellStyle name="Įprastas 5 2 2 3 3 2 4 2" xfId="4845" xr:uid="{E4091A35-5543-4AC6-9B30-A3F0A4ECA909}"/>
    <cellStyle name="Įprastas 5 2 2 3 3 2 4_8 priedas" xfId="8497" xr:uid="{593DE829-D22F-4335-B941-BC2854683C62}"/>
    <cellStyle name="Įprastas 5 2 2 3 3 2 5" xfId="6573" xr:uid="{05A58459-A8D5-4AF2-B105-4F24DC4E7C4D}"/>
    <cellStyle name="Įprastas 5 2 2 3 3 2 6" xfId="3117" xr:uid="{41981F2F-2B8A-4EAC-91B7-8D07DC60560E}"/>
    <cellStyle name="Įprastas 5 2 2 3 3 2_8 priedas" xfId="941" xr:uid="{00000000-0005-0000-0000-0000A4000000}"/>
    <cellStyle name="Įprastas 5 2 2 3 3 3" xfId="85" xr:uid="{00000000-0005-0000-0000-0000A5000000}"/>
    <cellStyle name="Įprastas 5 2 2 3 3 3 2" xfId="825" xr:uid="{00000000-0005-0000-0000-0000A6000000}"/>
    <cellStyle name="Įprastas 5 2 2 3 3 3 2 2" xfId="1430" xr:uid="{9CFD0FEA-EF68-4868-99B3-606C1C4F9BD4}"/>
    <cellStyle name="Įprastas 5 2 2 3 3 3 2 2 2" xfId="6430" xr:uid="{E2E8F67F-8DF9-4B83-86D4-1CA1EF167D5F}"/>
    <cellStyle name="Įprastas 5 2 2 3 3 3 2 2 3" xfId="8158" xr:uid="{41293154-497D-41AA-B49A-38644633661D}"/>
    <cellStyle name="Įprastas 5 2 2 3 3 3 2 2 4" xfId="4702" xr:uid="{E8C35FCB-3307-4B56-BB90-1CCD3195FF76}"/>
    <cellStyle name="Įprastas 5 2 2 3 3 3 2 2_8 priedas" xfId="8499" xr:uid="{E6F30233-C939-4A76-A8BE-D86A9F7F831F}"/>
    <cellStyle name="Įprastas 5 2 2 3 3 3 2 3" xfId="2973" xr:uid="{3DEF0352-68E2-4D3D-89CC-F07831643E76}"/>
    <cellStyle name="Įprastas 5 2 2 3 3 3 2 3 2" xfId="5566" xr:uid="{283EB7D3-9D07-4504-81B7-6FD2B1B29F02}"/>
    <cellStyle name="Įprastas 5 2 2 3 3 3 2 3_8 priedas" xfId="8500" xr:uid="{C240F0B1-20A9-4318-9740-8F8FF282C731}"/>
    <cellStyle name="Įprastas 5 2 2 3 3 3 2 4" xfId="7294" xr:uid="{A9903AAB-927A-49B2-BF21-CFF13F184F90}"/>
    <cellStyle name="Įprastas 5 2 2 3 3 3 2 5" xfId="3838" xr:uid="{866F4653-A443-4DD7-B13B-58C1652E4FE9}"/>
    <cellStyle name="Įprastas 5 2 2 3 3 3 2_8 priedas" xfId="8498" xr:uid="{0C2177CF-2CE7-4B84-82BC-CF54FFA3AB63}"/>
    <cellStyle name="Įprastas 5 2 2 3 3 3 3" xfId="1431" xr:uid="{08F99F70-8F99-4468-A834-BA10249C348E}"/>
    <cellStyle name="Įprastas 5 2 2 3 3 3 3 2" xfId="5710" xr:uid="{C5D8EB13-0B2E-4153-B56F-53E09AF22518}"/>
    <cellStyle name="Įprastas 5 2 2 3 3 3 3 3" xfId="7438" xr:uid="{EE3D9715-0ED7-4FA3-8B2C-6B5FB0032ED4}"/>
    <cellStyle name="Įprastas 5 2 2 3 3 3 3 4" xfId="3982" xr:uid="{5DDB5DEE-12F6-49B8-8847-EFAF280E6462}"/>
    <cellStyle name="Įprastas 5 2 2 3 3 3 3_8 priedas" xfId="8501" xr:uid="{D95B1057-A2BC-43EC-8DD8-6E22B5F0C07B}"/>
    <cellStyle name="Įprastas 5 2 2 3 3 3 4" xfId="2253" xr:uid="{F259449F-63EA-497E-BD11-8A9B08842424}"/>
    <cellStyle name="Įprastas 5 2 2 3 3 3 4 2" xfId="4846" xr:uid="{0485BE5B-7C97-4FD6-8E63-E1024255732B}"/>
    <cellStyle name="Įprastas 5 2 2 3 3 3 4_8 priedas" xfId="8502" xr:uid="{FD5E30C2-A6BF-4B69-9142-2E2F5A1A5B1A}"/>
    <cellStyle name="Įprastas 5 2 2 3 3 3 5" xfId="6574" xr:uid="{90A6A23A-F762-4A78-9A64-09681663A991}"/>
    <cellStyle name="Įprastas 5 2 2 3 3 3 6" xfId="3118" xr:uid="{2B798CC3-EEAD-44F3-BC6D-985DA12DD101}"/>
    <cellStyle name="Įprastas 5 2 2 3 3 3_8 priedas" xfId="1195" xr:uid="{00000000-0005-0000-0000-0000A7000000}"/>
    <cellStyle name="Įprastas 5 2 2 3 3 4" xfId="537" xr:uid="{00000000-0005-0000-0000-0000A8000000}"/>
    <cellStyle name="Įprastas 5 2 2 3 3 4 2" xfId="1432" xr:uid="{620591FD-4A35-49E4-815F-B8620E4F57BF}"/>
    <cellStyle name="Įprastas 5 2 2 3 3 4 2 2" xfId="6142" xr:uid="{2747AC5B-C708-4F6F-A717-C35005693643}"/>
    <cellStyle name="Įprastas 5 2 2 3 3 4 2 3" xfId="7870" xr:uid="{3381FA15-55A0-4600-8FD0-1F1FE0DC48D5}"/>
    <cellStyle name="Įprastas 5 2 2 3 3 4 2 4" xfId="4414" xr:uid="{1D68F291-E924-4D3C-AF81-DE49C4FC61F3}"/>
    <cellStyle name="Įprastas 5 2 2 3 3 4 2_8 priedas" xfId="8504" xr:uid="{366347DD-F79D-4577-8D16-FED3CF65C01C}"/>
    <cellStyle name="Įprastas 5 2 2 3 3 4 3" xfId="2685" xr:uid="{512D80A9-9BEB-4BDA-9C56-624145912D45}"/>
    <cellStyle name="Įprastas 5 2 2 3 3 4 3 2" xfId="5278" xr:uid="{51394199-7EA3-488A-8819-DCD10D0474DB}"/>
    <cellStyle name="Įprastas 5 2 2 3 3 4 3_8 priedas" xfId="8505" xr:uid="{D5CF7363-48C7-4973-8CED-65502FC54523}"/>
    <cellStyle name="Įprastas 5 2 2 3 3 4 4" xfId="7006" xr:uid="{2A1DBA21-044F-47F1-B079-24DDF32E475E}"/>
    <cellStyle name="Įprastas 5 2 2 3 3 4 5" xfId="3550" xr:uid="{B8B0E112-9F12-4BC2-81FD-885F8A4ACB07}"/>
    <cellStyle name="Įprastas 5 2 2 3 3 4_8 priedas" xfId="8503" xr:uid="{323BAFB4-1835-4893-BB86-E2F3133E719F}"/>
    <cellStyle name="Įprastas 5 2 2 3 3 5" xfId="1433" xr:uid="{B2993B8F-1E00-49EC-8047-2CE58BB5F316}"/>
    <cellStyle name="Įprastas 5 2 2 3 3 5 2" xfId="5708" xr:uid="{0F7BD20E-FCE7-4DEC-8881-C134A42CB8B0}"/>
    <cellStyle name="Įprastas 5 2 2 3 3 5 3" xfId="7436" xr:uid="{870A1375-F93D-4BD7-92DF-194F44BF7669}"/>
    <cellStyle name="Įprastas 5 2 2 3 3 5 4" xfId="3980" xr:uid="{C1D776B9-DC38-4AE8-99CE-A1B6205C7D79}"/>
    <cellStyle name="Įprastas 5 2 2 3 3 5_8 priedas" xfId="8506" xr:uid="{13278D73-2E0D-4FDE-85B0-BEFBBF2D0AA7}"/>
    <cellStyle name="Įprastas 5 2 2 3 3 6" xfId="2251" xr:uid="{74DD5765-A445-4E5F-B0F8-3E8EC1B558C5}"/>
    <cellStyle name="Įprastas 5 2 2 3 3 6 2" xfId="4844" xr:uid="{7B4D8A4E-763D-4A68-A41F-D1CF8BA5A905}"/>
    <cellStyle name="Įprastas 5 2 2 3 3 6_8 priedas" xfId="8507" xr:uid="{874ECA01-B7D6-49DF-909B-6CF49FC05164}"/>
    <cellStyle name="Įprastas 5 2 2 3 3 7" xfId="6572" xr:uid="{EEECCF1E-F02D-467D-A9CE-6C0260BB1B61}"/>
    <cellStyle name="Įprastas 5 2 2 3 3 8" xfId="3116" xr:uid="{E830B33C-4A81-4894-9C5D-C8DBDFE0A0D9}"/>
    <cellStyle name="Įprastas 5 2 2 3 3_8 priedas" xfId="925" xr:uid="{00000000-0005-0000-0000-0000A9000000}"/>
    <cellStyle name="Įprastas 5 2 2 3 4" xfId="86" xr:uid="{00000000-0005-0000-0000-0000AA000000}"/>
    <cellStyle name="Įprastas 5 2 2 3 4 2" xfId="87" xr:uid="{00000000-0005-0000-0000-0000AB000000}"/>
    <cellStyle name="Įprastas 5 2 2 3 4 2 2" xfId="729" xr:uid="{00000000-0005-0000-0000-0000AC000000}"/>
    <cellStyle name="Įprastas 5 2 2 3 4 2 2 2" xfId="1434" xr:uid="{00A8434D-2173-47F9-99CF-ACA5D5BB9351}"/>
    <cellStyle name="Įprastas 5 2 2 3 4 2 2 2 2" xfId="6334" xr:uid="{29F66AD3-59C3-456E-97DD-5DBDD4123B57}"/>
    <cellStyle name="Įprastas 5 2 2 3 4 2 2 2 3" xfId="8062" xr:uid="{82F35BE9-271A-4CEB-989E-4AF4A4E05100}"/>
    <cellStyle name="Įprastas 5 2 2 3 4 2 2 2 4" xfId="4606" xr:uid="{11166055-86DF-4055-88B0-FE368A3A16FE}"/>
    <cellStyle name="Įprastas 5 2 2 3 4 2 2 2_8 priedas" xfId="8509" xr:uid="{529840AE-F702-4715-9DA1-2B691027D2DD}"/>
    <cellStyle name="Įprastas 5 2 2 3 4 2 2 3" xfId="2877" xr:uid="{1E8D994C-7616-4E7B-A897-E7C1A2FB916E}"/>
    <cellStyle name="Įprastas 5 2 2 3 4 2 2 3 2" xfId="5470" xr:uid="{00BF517D-B14F-4E97-9605-B64A9CECCF69}"/>
    <cellStyle name="Įprastas 5 2 2 3 4 2 2 3_8 priedas" xfId="8510" xr:uid="{24A119DA-A7A8-490E-B2E1-89AE75A50AF6}"/>
    <cellStyle name="Įprastas 5 2 2 3 4 2 2 4" xfId="7198" xr:uid="{CA7EFF34-21D8-4BF0-9EC6-D936800E54F0}"/>
    <cellStyle name="Įprastas 5 2 2 3 4 2 2 5" xfId="3742" xr:uid="{E8B80798-3768-4530-B674-5481FD4DE41E}"/>
    <cellStyle name="Įprastas 5 2 2 3 4 2 2_8 priedas" xfId="8508" xr:uid="{EDC76998-FAC1-4BC0-83BF-CAA73F5CD1C8}"/>
    <cellStyle name="Įprastas 5 2 2 3 4 2 3" xfId="1435" xr:uid="{D1997D15-4EC0-449F-9404-76E02DA763AB}"/>
    <cellStyle name="Įprastas 5 2 2 3 4 2 3 2" xfId="5712" xr:uid="{2CA91673-B6CC-44F6-9470-D46AB26E7302}"/>
    <cellStyle name="Įprastas 5 2 2 3 4 2 3 3" xfId="7440" xr:uid="{9519EB21-713F-415C-BAB1-44FBAC675861}"/>
    <cellStyle name="Įprastas 5 2 2 3 4 2 3 4" xfId="3984" xr:uid="{45C2A8B4-6864-44DF-AC5B-7F6FCC25E610}"/>
    <cellStyle name="Įprastas 5 2 2 3 4 2 3_8 priedas" xfId="8511" xr:uid="{15B53A4F-1983-428C-859F-3B2B53C2AE11}"/>
    <cellStyle name="Įprastas 5 2 2 3 4 2 4" xfId="2255" xr:uid="{357DBEAD-8679-40A2-A255-BEE74FFC410A}"/>
    <cellStyle name="Įprastas 5 2 2 3 4 2 4 2" xfId="4848" xr:uid="{324A8685-AAC3-440E-A500-470C6053E165}"/>
    <cellStyle name="Įprastas 5 2 2 3 4 2 4_8 priedas" xfId="8512" xr:uid="{0163D1A0-9830-4C29-A4A4-966BAF12BD0D}"/>
    <cellStyle name="Įprastas 5 2 2 3 4 2 5" xfId="6576" xr:uid="{60DCC7B7-9B46-41AD-943D-7355D45E9829}"/>
    <cellStyle name="Įprastas 5 2 2 3 4 2 6" xfId="3120" xr:uid="{149F83CE-F4CA-4511-B1C6-4F06325E30B7}"/>
    <cellStyle name="Įprastas 5 2 2 3 4 2_8 priedas" xfId="1286" xr:uid="{00000000-0005-0000-0000-0000AD000000}"/>
    <cellStyle name="Įprastas 5 2 2 3 4 3" xfId="88" xr:uid="{00000000-0005-0000-0000-0000AE000000}"/>
    <cellStyle name="Įprastas 5 2 2 3 4 3 2" xfId="873" xr:uid="{00000000-0005-0000-0000-0000AF000000}"/>
    <cellStyle name="Įprastas 5 2 2 3 4 3 2 2" xfId="1436" xr:uid="{D9870E02-0D5A-4427-BC8F-FCA75FE28C0A}"/>
    <cellStyle name="Įprastas 5 2 2 3 4 3 2 2 2" xfId="6478" xr:uid="{5CBC4D94-4A9F-41F3-86CF-4197514D8D67}"/>
    <cellStyle name="Įprastas 5 2 2 3 4 3 2 2 3" xfId="8206" xr:uid="{34233D96-5516-4DFD-91E6-DD6E8010D2A4}"/>
    <cellStyle name="Įprastas 5 2 2 3 4 3 2 2 4" xfId="4750" xr:uid="{2F82AA80-34DE-4172-B51C-52BC66AE663E}"/>
    <cellStyle name="Įprastas 5 2 2 3 4 3 2 2_8 priedas" xfId="8514" xr:uid="{EC6A75DD-B0A4-4102-B931-7211803FF4AB}"/>
    <cellStyle name="Įprastas 5 2 2 3 4 3 2 3" xfId="3021" xr:uid="{A70AF8B1-D140-4548-AFBA-F56A61F5A18F}"/>
    <cellStyle name="Įprastas 5 2 2 3 4 3 2 3 2" xfId="5614" xr:uid="{B528A901-7651-435E-8CCE-480FC966286F}"/>
    <cellStyle name="Įprastas 5 2 2 3 4 3 2 3_8 priedas" xfId="8515" xr:uid="{C8C3E2AF-2BBC-42EC-9181-3E2FB1421FBA}"/>
    <cellStyle name="Įprastas 5 2 2 3 4 3 2 4" xfId="7342" xr:uid="{C9B553A5-3124-4EFC-A84C-F7C17ACECDFF}"/>
    <cellStyle name="Įprastas 5 2 2 3 4 3 2 5" xfId="3886" xr:uid="{04CEAF0D-480B-4914-808D-D76C29AD62A2}"/>
    <cellStyle name="Įprastas 5 2 2 3 4 3 2_8 priedas" xfId="8513" xr:uid="{F11ADC65-F235-46D7-A657-E8191949630D}"/>
    <cellStyle name="Įprastas 5 2 2 3 4 3 3" xfId="1437" xr:uid="{528B09C7-C770-4AE4-BCBD-C6BEA4B80D10}"/>
    <cellStyle name="Įprastas 5 2 2 3 4 3 3 2" xfId="5713" xr:uid="{7964923B-C347-486D-97C5-FC8ADCB50A83}"/>
    <cellStyle name="Įprastas 5 2 2 3 4 3 3 3" xfId="7441" xr:uid="{26CA6784-5205-4051-B5EA-C76FD31DA537}"/>
    <cellStyle name="Įprastas 5 2 2 3 4 3 3 4" xfId="3985" xr:uid="{DE50E80C-7F6C-4A90-BA72-584CAF35DD95}"/>
    <cellStyle name="Įprastas 5 2 2 3 4 3 3_8 priedas" xfId="8516" xr:uid="{AFA82BD2-94DB-4E0F-8978-A5C2A604F478}"/>
    <cellStyle name="Įprastas 5 2 2 3 4 3 4" xfId="2256" xr:uid="{D0717A1C-6144-48C2-8521-DD62AEBB6D85}"/>
    <cellStyle name="Įprastas 5 2 2 3 4 3 4 2" xfId="4849" xr:uid="{0058F6B2-BD48-44C5-AF42-10BE31DD5113}"/>
    <cellStyle name="Įprastas 5 2 2 3 4 3 4_8 priedas" xfId="8517" xr:uid="{565AB025-5F05-40FE-865F-C238CFAE1B3B}"/>
    <cellStyle name="Įprastas 5 2 2 3 4 3 5" xfId="6577" xr:uid="{5E9A3CF6-5D27-4656-82ED-91684929AEFE}"/>
    <cellStyle name="Įprastas 5 2 2 3 4 3 6" xfId="3121" xr:uid="{08864B9B-632B-4848-8BB1-50C81D19AB1B}"/>
    <cellStyle name="Įprastas 5 2 2 3 4 3_8 priedas" xfId="1149" xr:uid="{00000000-0005-0000-0000-0000B0000000}"/>
    <cellStyle name="Įprastas 5 2 2 3 4 4" xfId="585" xr:uid="{00000000-0005-0000-0000-0000B1000000}"/>
    <cellStyle name="Įprastas 5 2 2 3 4 4 2" xfId="1438" xr:uid="{EB06A828-9BA4-41FD-AC5E-6007ECA32B6F}"/>
    <cellStyle name="Įprastas 5 2 2 3 4 4 2 2" xfId="6190" xr:uid="{A8119016-2DFF-406E-B9C0-B92B9753E8F2}"/>
    <cellStyle name="Įprastas 5 2 2 3 4 4 2 3" xfId="7918" xr:uid="{3E757F30-B71E-48ED-B283-3E4225571F7D}"/>
    <cellStyle name="Įprastas 5 2 2 3 4 4 2 4" xfId="4462" xr:uid="{0CBC7D06-A486-4AB7-811A-E3E5C839CC82}"/>
    <cellStyle name="Įprastas 5 2 2 3 4 4 2_8 priedas" xfId="8519" xr:uid="{5921244D-9540-418C-B856-47C8AE1A8B70}"/>
    <cellStyle name="Įprastas 5 2 2 3 4 4 3" xfId="2733" xr:uid="{A20C807C-DCF2-4C43-9CE6-5427C3FF59F3}"/>
    <cellStyle name="Įprastas 5 2 2 3 4 4 3 2" xfId="5326" xr:uid="{927EF6EB-59B0-484C-8308-399EF0B211B1}"/>
    <cellStyle name="Įprastas 5 2 2 3 4 4 3_8 priedas" xfId="8520" xr:uid="{BBFD966C-23B0-4DBC-91FB-8BAEF7C983F3}"/>
    <cellStyle name="Įprastas 5 2 2 3 4 4 4" xfId="7054" xr:uid="{D993F6FE-F3A1-44A5-8F7F-8F88385976F7}"/>
    <cellStyle name="Įprastas 5 2 2 3 4 4 5" xfId="3598" xr:uid="{6C68FE33-C781-4B1C-8F72-A5337AB1CD15}"/>
    <cellStyle name="Įprastas 5 2 2 3 4 4_8 priedas" xfId="8518" xr:uid="{0BC52059-631F-40E7-AA14-9C3F61DC6DA4}"/>
    <cellStyle name="Įprastas 5 2 2 3 4 5" xfId="1439" xr:uid="{DD66C069-B029-42A7-BDAF-4919A9694A90}"/>
    <cellStyle name="Įprastas 5 2 2 3 4 5 2" xfId="5711" xr:uid="{CC5338D4-6FA1-4240-91A1-DE0EE557DDEA}"/>
    <cellStyle name="Įprastas 5 2 2 3 4 5 3" xfId="7439" xr:uid="{18C59BA9-7459-46B7-A75E-2E55ABFF6963}"/>
    <cellStyle name="Įprastas 5 2 2 3 4 5 4" xfId="3983" xr:uid="{053A88A3-6307-4642-84D4-AF24DBD00DFF}"/>
    <cellStyle name="Įprastas 5 2 2 3 4 5_8 priedas" xfId="8521" xr:uid="{B5435DFE-E8D2-4453-8804-43531B83906B}"/>
    <cellStyle name="Įprastas 5 2 2 3 4 6" xfId="2254" xr:uid="{09B47A9D-7C0A-485A-99B7-11565637B4F4}"/>
    <cellStyle name="Įprastas 5 2 2 3 4 6 2" xfId="4847" xr:uid="{755C35D2-CAB0-4CE9-9D0F-9DF8FAAEBA67}"/>
    <cellStyle name="Įprastas 5 2 2 3 4 6_8 priedas" xfId="8522" xr:uid="{A9A8811B-E714-424B-AF3D-92D627FEBB12}"/>
    <cellStyle name="Įprastas 5 2 2 3 4 7" xfId="6575" xr:uid="{AD6A962F-62D9-4C0A-8B81-075EFF900454}"/>
    <cellStyle name="Įprastas 5 2 2 3 4 8" xfId="3119" xr:uid="{BF2D87CA-F806-4BAA-86E0-1175A3B09478}"/>
    <cellStyle name="Įprastas 5 2 2 3 4_8 priedas" xfId="1061" xr:uid="{00000000-0005-0000-0000-0000B2000000}"/>
    <cellStyle name="Įprastas 5 2 2 3 5" xfId="89" xr:uid="{00000000-0005-0000-0000-0000B3000000}"/>
    <cellStyle name="Įprastas 5 2 2 3 5 2" xfId="633" xr:uid="{00000000-0005-0000-0000-0000B4000000}"/>
    <cellStyle name="Įprastas 5 2 2 3 5 2 2" xfId="1440" xr:uid="{3B669553-E996-4809-AFB4-DAE4990EA37B}"/>
    <cellStyle name="Įprastas 5 2 2 3 5 2 2 2" xfId="6238" xr:uid="{B16D7822-18FB-46AC-8CE5-3B3C45404C43}"/>
    <cellStyle name="Įprastas 5 2 2 3 5 2 2 3" xfId="7966" xr:uid="{66C16474-A2EB-40AF-B053-04C00B844A70}"/>
    <cellStyle name="Įprastas 5 2 2 3 5 2 2 4" xfId="4510" xr:uid="{D2F8F077-A818-443D-90AF-4FD27D560DF6}"/>
    <cellStyle name="Įprastas 5 2 2 3 5 2 2_8 priedas" xfId="8524" xr:uid="{B68827B1-895E-4FCD-8E8D-8AC8F8C17B87}"/>
    <cellStyle name="Įprastas 5 2 2 3 5 2 3" xfId="2781" xr:uid="{0D25C797-2D9B-466C-B8C9-B64C819667AD}"/>
    <cellStyle name="Įprastas 5 2 2 3 5 2 3 2" xfId="5374" xr:uid="{1272C7DC-22E4-4C35-B632-25B662927F80}"/>
    <cellStyle name="Įprastas 5 2 2 3 5 2 3_8 priedas" xfId="8525" xr:uid="{9E6FBCEB-345F-4355-A4BC-1E36F4650856}"/>
    <cellStyle name="Įprastas 5 2 2 3 5 2 4" xfId="7102" xr:uid="{3B5D8C4A-8570-41D1-9334-55C047919A02}"/>
    <cellStyle name="Įprastas 5 2 2 3 5 2 5" xfId="3646" xr:uid="{FAE8815A-1612-4425-968E-726B54910DB3}"/>
    <cellStyle name="Įprastas 5 2 2 3 5 2_8 priedas" xfId="8523" xr:uid="{C5FF77E7-3394-4466-B382-53E751F33C5C}"/>
    <cellStyle name="Įprastas 5 2 2 3 5 3" xfId="1441" xr:uid="{9B554722-130C-48B4-88D4-5DF5D166BB82}"/>
    <cellStyle name="Įprastas 5 2 2 3 5 3 2" xfId="5714" xr:uid="{17120735-1649-4015-82F9-6ABD43EBBD16}"/>
    <cellStyle name="Įprastas 5 2 2 3 5 3 3" xfId="7442" xr:uid="{3D375303-1E53-4E9E-9004-171F9E1958C2}"/>
    <cellStyle name="Įprastas 5 2 2 3 5 3 4" xfId="3986" xr:uid="{EB1EE05B-8B59-47C8-9B5B-771A0DB5ED06}"/>
    <cellStyle name="Įprastas 5 2 2 3 5 3_8 priedas" xfId="8526" xr:uid="{607896E1-68C5-40BE-9E50-4BBD14D50F39}"/>
    <cellStyle name="Įprastas 5 2 2 3 5 4" xfId="2257" xr:uid="{4FAC7941-2A53-46D3-854C-FC148A09BE68}"/>
    <cellStyle name="Įprastas 5 2 2 3 5 4 2" xfId="4850" xr:uid="{35A0B783-FEBF-4317-B93C-3CA767024C25}"/>
    <cellStyle name="Įprastas 5 2 2 3 5 4_8 priedas" xfId="8527" xr:uid="{4711AF47-EAC3-46D6-816D-79798DB4AC11}"/>
    <cellStyle name="Įprastas 5 2 2 3 5 5" xfId="6578" xr:uid="{509CCABC-E293-4464-AE23-C9CF881BF43A}"/>
    <cellStyle name="Įprastas 5 2 2 3 5 6" xfId="3122" xr:uid="{20259F80-6AC0-4477-8081-0970A5C3A290}"/>
    <cellStyle name="Įprastas 5 2 2 3 5_8 priedas" xfId="1014" xr:uid="{00000000-0005-0000-0000-0000B5000000}"/>
    <cellStyle name="Įprastas 5 2 2 3 6" xfId="90" xr:uid="{00000000-0005-0000-0000-0000B6000000}"/>
    <cellStyle name="Įprastas 5 2 2 3 6 2" xfId="777" xr:uid="{00000000-0005-0000-0000-0000B7000000}"/>
    <cellStyle name="Įprastas 5 2 2 3 6 2 2" xfId="1442" xr:uid="{DD076287-448A-4EAB-A618-4D3F9CBFF2C1}"/>
    <cellStyle name="Įprastas 5 2 2 3 6 2 2 2" xfId="6382" xr:uid="{73F17034-1154-4011-9382-BBB464B2CE59}"/>
    <cellStyle name="Įprastas 5 2 2 3 6 2 2 3" xfId="8110" xr:uid="{F6335872-00CB-47A5-AA7F-902F1A803BD4}"/>
    <cellStyle name="Įprastas 5 2 2 3 6 2 2 4" xfId="4654" xr:uid="{4097B594-B015-43F3-884F-8B6B6B69A692}"/>
    <cellStyle name="Įprastas 5 2 2 3 6 2 2_8 priedas" xfId="8529" xr:uid="{D572F03E-C8C0-4DFF-9667-4247D2CDD10E}"/>
    <cellStyle name="Įprastas 5 2 2 3 6 2 3" xfId="2925" xr:uid="{45BE798B-A19F-4D47-A740-7AB86FDE6E0F}"/>
    <cellStyle name="Įprastas 5 2 2 3 6 2 3 2" xfId="5518" xr:uid="{E44F6C17-B051-4FE0-912E-4C7F3DEE7CDD}"/>
    <cellStyle name="Įprastas 5 2 2 3 6 2 3_8 priedas" xfId="8530" xr:uid="{E435B42D-74FB-46E5-A24E-851844E47A7E}"/>
    <cellStyle name="Įprastas 5 2 2 3 6 2 4" xfId="7246" xr:uid="{A34482EF-436F-42E4-A731-5B69EB3AA094}"/>
    <cellStyle name="Įprastas 5 2 2 3 6 2 5" xfId="3790" xr:uid="{627EFE3D-01F7-4AF1-9C6F-0012C4850830}"/>
    <cellStyle name="Įprastas 5 2 2 3 6 2_8 priedas" xfId="8528" xr:uid="{E62CC0CD-EE3E-46AD-8705-E7A8328ACC23}"/>
    <cellStyle name="Įprastas 5 2 2 3 6 3" xfId="1443" xr:uid="{488834ED-2BA7-4547-B973-7F9969DE1008}"/>
    <cellStyle name="Įprastas 5 2 2 3 6 3 2" xfId="5715" xr:uid="{370AC497-7316-40A0-9044-2934D8E53803}"/>
    <cellStyle name="Įprastas 5 2 2 3 6 3 3" xfId="7443" xr:uid="{F961D4EF-909D-4B64-8F72-C6F9D0FAF682}"/>
    <cellStyle name="Įprastas 5 2 2 3 6 3 4" xfId="3987" xr:uid="{ECCAFAB5-4B5E-4B8D-AB29-F8C9315E4308}"/>
    <cellStyle name="Įprastas 5 2 2 3 6 3_8 priedas" xfId="8531" xr:uid="{E9FEC068-6134-4D8A-B748-E9459086E47A}"/>
    <cellStyle name="Įprastas 5 2 2 3 6 4" xfId="2258" xr:uid="{AEA27792-B361-4C2D-B84E-86C267C6C8F7}"/>
    <cellStyle name="Įprastas 5 2 2 3 6 4 2" xfId="4851" xr:uid="{8B8E7600-8124-4675-BFED-7ACAC8BD5A50}"/>
    <cellStyle name="Įprastas 5 2 2 3 6 4_8 priedas" xfId="8532" xr:uid="{A41C1312-21FD-4FF7-A4DE-152CBC72079F}"/>
    <cellStyle name="Įprastas 5 2 2 3 6 5" xfId="6579" xr:uid="{141A397D-A501-4663-AC3F-DE4F30559286}"/>
    <cellStyle name="Įprastas 5 2 2 3 6 6" xfId="3123" xr:uid="{CE6834A6-CA8A-4378-834D-B16593EA4F03}"/>
    <cellStyle name="Įprastas 5 2 2 3 6_8 priedas" xfId="1239" xr:uid="{00000000-0005-0000-0000-0000B8000000}"/>
    <cellStyle name="Įprastas 5 2 2 3 7" xfId="489" xr:uid="{00000000-0005-0000-0000-0000B9000000}"/>
    <cellStyle name="Įprastas 5 2 2 3 7 2" xfId="1444" xr:uid="{576359B6-BA8C-429D-A229-678644762BB2}"/>
    <cellStyle name="Įprastas 5 2 2 3 7 2 2" xfId="6094" xr:uid="{BAFA30B1-853F-4A3D-9683-EA28CE8CF9EE}"/>
    <cellStyle name="Įprastas 5 2 2 3 7 2 3" xfId="7822" xr:uid="{4B6E2510-D4D4-423B-BD39-8E8BBAAA593C}"/>
    <cellStyle name="Įprastas 5 2 2 3 7 2 4" xfId="4366" xr:uid="{24CFA30C-067A-43F4-B998-AA3733555EBC}"/>
    <cellStyle name="Įprastas 5 2 2 3 7 2_8 priedas" xfId="8534" xr:uid="{43AEC75C-D719-4BC5-8CA1-B1C842D383A4}"/>
    <cellStyle name="Įprastas 5 2 2 3 7 3" xfId="2637" xr:uid="{88AED4A3-3046-400F-BFB2-E50E6835B5C0}"/>
    <cellStyle name="Įprastas 5 2 2 3 7 3 2" xfId="5230" xr:uid="{B28098BC-0E17-4696-9281-154ACA7726A3}"/>
    <cellStyle name="Įprastas 5 2 2 3 7 3_8 priedas" xfId="8535" xr:uid="{FDD306B5-6689-42EA-AB25-C0B83DA69E42}"/>
    <cellStyle name="Įprastas 5 2 2 3 7 4" xfId="6958" xr:uid="{ABBFB2F4-E388-4933-926E-6475F83DB7D4}"/>
    <cellStyle name="Įprastas 5 2 2 3 7 5" xfId="3502" xr:uid="{7E124629-69B0-4928-BD25-8BD989454AE5}"/>
    <cellStyle name="Įprastas 5 2 2 3 7_8 priedas" xfId="8533" xr:uid="{878EB56F-8C0A-4BD1-8B95-602D2EE16BD8}"/>
    <cellStyle name="Įprastas 5 2 2 3 8" xfId="1445" xr:uid="{7642A224-FD1B-45BA-ABA8-3ED439C77F70}"/>
    <cellStyle name="Įprastas 5 2 2 3 8 2" xfId="5698" xr:uid="{D7ADEA69-1E82-4051-BBF1-2DC8D126501D}"/>
    <cellStyle name="Įprastas 5 2 2 3 8 3" xfId="7426" xr:uid="{8F44EE40-3877-4588-B717-C4A06933D82D}"/>
    <cellStyle name="Įprastas 5 2 2 3 8 4" xfId="3970" xr:uid="{0D4037DB-4586-49BC-B798-26A7758F6EF6}"/>
    <cellStyle name="Įprastas 5 2 2 3 8_8 priedas" xfId="8536" xr:uid="{841939E9-03A8-47FD-9E07-6A2445183BE5}"/>
    <cellStyle name="Įprastas 5 2 2 3 9" xfId="2241" xr:uid="{F7ACCDA6-6304-401C-B1FD-2C74A2556A45}"/>
    <cellStyle name="Įprastas 5 2 2 3 9 2" xfId="4834" xr:uid="{E253C1ED-1687-4226-95FA-05ABB2C5D5C4}"/>
    <cellStyle name="Įprastas 5 2 2 3 9_8 priedas" xfId="8537" xr:uid="{7E8A649E-B5CB-475E-AC37-6061F9601F71}"/>
    <cellStyle name="Įprastas 5 2 2 3_8 priedas" xfId="979" xr:uid="{00000000-0005-0000-0000-0000BA000000}"/>
    <cellStyle name="Įprastas 5 2 2 4" xfId="91" xr:uid="{00000000-0005-0000-0000-0000BB000000}"/>
    <cellStyle name="Įprastas 5 2 2 4 10" xfId="3124" xr:uid="{2FA80D2A-5B2F-4C8E-9590-0DF7C4EB7D19}"/>
    <cellStyle name="Įprastas 5 2 2 4 2" xfId="92" xr:uid="{00000000-0005-0000-0000-0000BC000000}"/>
    <cellStyle name="Įprastas 5 2 2 4 2 2" xfId="93" xr:uid="{00000000-0005-0000-0000-0000BD000000}"/>
    <cellStyle name="Įprastas 5 2 2 4 2 2 2" xfId="693" xr:uid="{00000000-0005-0000-0000-0000BE000000}"/>
    <cellStyle name="Įprastas 5 2 2 4 2 2 2 2" xfId="1446" xr:uid="{47B44A0B-9E3B-47D1-B745-C8337A248C49}"/>
    <cellStyle name="Įprastas 5 2 2 4 2 2 2 2 2" xfId="6298" xr:uid="{EB99050C-226D-478B-8E23-29CA9C5CF9F0}"/>
    <cellStyle name="Įprastas 5 2 2 4 2 2 2 2 3" xfId="8026" xr:uid="{026EB8B9-FF6D-4541-B786-471038813A49}"/>
    <cellStyle name="Įprastas 5 2 2 4 2 2 2 2 4" xfId="4570" xr:uid="{07D5E127-A1A4-4F59-8C16-CCE58D88CB33}"/>
    <cellStyle name="Įprastas 5 2 2 4 2 2 2 2_8 priedas" xfId="8539" xr:uid="{E1BD86F0-FBE5-42F2-99E9-015AA217CFC3}"/>
    <cellStyle name="Įprastas 5 2 2 4 2 2 2 3" xfId="2841" xr:uid="{51DFC718-2F8E-43C3-86AD-C0FC4C44815B}"/>
    <cellStyle name="Įprastas 5 2 2 4 2 2 2 3 2" xfId="5434" xr:uid="{8950E591-6795-47CD-8FBD-8524FD16617E}"/>
    <cellStyle name="Įprastas 5 2 2 4 2 2 2 3_8 priedas" xfId="8540" xr:uid="{595CF225-6878-4804-A6A0-C430371C5605}"/>
    <cellStyle name="Įprastas 5 2 2 4 2 2 2 4" xfId="7162" xr:uid="{37A11709-B83E-4EA3-92E0-EDC3E0379222}"/>
    <cellStyle name="Įprastas 5 2 2 4 2 2 2 5" xfId="3706" xr:uid="{F92C3FAC-AC86-428F-A8A1-382547A09EBB}"/>
    <cellStyle name="Įprastas 5 2 2 4 2 2 2_8 priedas" xfId="8538" xr:uid="{EF987E2E-ED77-43A4-BBA2-2DC079CE3F71}"/>
    <cellStyle name="Įprastas 5 2 2 4 2 2 3" xfId="1447" xr:uid="{84A408FF-5E60-47CD-B5A3-165745581B98}"/>
    <cellStyle name="Įprastas 5 2 2 4 2 2 3 2" xfId="5718" xr:uid="{4C0D4F98-5EE3-41FB-899F-764947422B5B}"/>
    <cellStyle name="Įprastas 5 2 2 4 2 2 3 3" xfId="7446" xr:uid="{EA90648E-286C-44AD-931D-D5081FDBA793}"/>
    <cellStyle name="Įprastas 5 2 2 4 2 2 3 4" xfId="3990" xr:uid="{033C1752-5DEF-4EC8-B815-8335F052D704}"/>
    <cellStyle name="Įprastas 5 2 2 4 2 2 3_8 priedas" xfId="8541" xr:uid="{4DF5DB5F-BA04-4754-B5C4-C2F60BD08962}"/>
    <cellStyle name="Įprastas 5 2 2 4 2 2 4" xfId="2261" xr:uid="{B4657B59-4956-4B93-9E94-A8744F27F39D}"/>
    <cellStyle name="Įprastas 5 2 2 4 2 2 4 2" xfId="4854" xr:uid="{4618E032-3257-41E1-A611-BF81B5B14735}"/>
    <cellStyle name="Įprastas 5 2 2 4 2 2 4_8 priedas" xfId="8542" xr:uid="{0A707903-3354-4483-B031-F2ED3BE718C3}"/>
    <cellStyle name="Įprastas 5 2 2 4 2 2 5" xfId="6582" xr:uid="{CEFCAC61-C562-4335-8ADD-37A5317B5E03}"/>
    <cellStyle name="Įprastas 5 2 2 4 2 2 6" xfId="3126" xr:uid="{3390AB41-DFA5-4273-B1D4-3FEC6C2A1E60}"/>
    <cellStyle name="Įprastas 5 2 2 4 2 2_8 priedas" xfId="1219" xr:uid="{00000000-0005-0000-0000-0000BF000000}"/>
    <cellStyle name="Įprastas 5 2 2 4 2 3" xfId="94" xr:uid="{00000000-0005-0000-0000-0000C0000000}"/>
    <cellStyle name="Įprastas 5 2 2 4 2 3 2" xfId="837" xr:uid="{00000000-0005-0000-0000-0000C1000000}"/>
    <cellStyle name="Įprastas 5 2 2 4 2 3 2 2" xfId="1448" xr:uid="{A1EE0F78-6C98-47D9-952A-C287F2F91B1E}"/>
    <cellStyle name="Įprastas 5 2 2 4 2 3 2 2 2" xfId="6442" xr:uid="{F13A8FF1-CCA8-4464-A8A4-48684DFABCA7}"/>
    <cellStyle name="Įprastas 5 2 2 4 2 3 2 2 3" xfId="8170" xr:uid="{0ACCBC0B-A686-42EF-8483-F1EB1C636B60}"/>
    <cellStyle name="Įprastas 5 2 2 4 2 3 2 2 4" xfId="4714" xr:uid="{4F6910A9-A65E-4FCF-A72A-338ECA03D1CA}"/>
    <cellStyle name="Įprastas 5 2 2 4 2 3 2 2_8 priedas" xfId="8544" xr:uid="{A10A28EA-5ECE-4921-91F6-FEA8A8387CAB}"/>
    <cellStyle name="Įprastas 5 2 2 4 2 3 2 3" xfId="2985" xr:uid="{8D1D9C55-9A46-42E5-820B-B2799038C010}"/>
    <cellStyle name="Įprastas 5 2 2 4 2 3 2 3 2" xfId="5578" xr:uid="{1261B1CE-84A6-4D94-8D8A-A0F3F91F243F}"/>
    <cellStyle name="Įprastas 5 2 2 4 2 3 2 3_8 priedas" xfId="8545" xr:uid="{060A8F24-CE22-49F2-8FA5-819D4FD2675F}"/>
    <cellStyle name="Įprastas 5 2 2 4 2 3 2 4" xfId="7306" xr:uid="{0BC023AC-BF86-4D37-A94B-BCE504B53545}"/>
    <cellStyle name="Įprastas 5 2 2 4 2 3 2 5" xfId="3850" xr:uid="{124DC744-B482-4328-9EE7-B8D1C4D5FCE8}"/>
    <cellStyle name="Įprastas 5 2 2 4 2 3 2_8 priedas" xfId="8543" xr:uid="{057A796D-A7E2-4BDD-9256-3D322B1CD2AA}"/>
    <cellStyle name="Įprastas 5 2 2 4 2 3 3" xfId="1449" xr:uid="{57B141B7-5822-4BAE-88DD-497E273F5CAA}"/>
    <cellStyle name="Įprastas 5 2 2 4 2 3 3 2" xfId="5719" xr:uid="{E1A4B3B2-5A9D-4149-BEAE-E0078121CC65}"/>
    <cellStyle name="Įprastas 5 2 2 4 2 3 3 3" xfId="7447" xr:uid="{9A6670AD-E8A0-4A69-AA9F-B7EE9CCD0FBE}"/>
    <cellStyle name="Įprastas 5 2 2 4 2 3 3 4" xfId="3991" xr:uid="{E0E9912C-40EF-4B65-AE5A-3CA100C4031A}"/>
    <cellStyle name="Įprastas 5 2 2 4 2 3 3_8 priedas" xfId="8546" xr:uid="{B2BDA7C9-1407-4F4A-A3F9-3826A071F702}"/>
    <cellStyle name="Įprastas 5 2 2 4 2 3 4" xfId="2262" xr:uid="{61E6D733-C971-43A3-8F37-FC71E6B53231}"/>
    <cellStyle name="Įprastas 5 2 2 4 2 3 4 2" xfId="4855" xr:uid="{12CCEA3A-CD9F-45FE-87BD-586E8AC0D817}"/>
    <cellStyle name="Įprastas 5 2 2 4 2 3 4_8 priedas" xfId="8547" xr:uid="{FF841C97-AF7B-431A-A0AA-E9405CF5EEFA}"/>
    <cellStyle name="Įprastas 5 2 2 4 2 3 5" xfId="6583" xr:uid="{E05C56E4-1947-4AF9-9024-03A51E6911C5}"/>
    <cellStyle name="Įprastas 5 2 2 4 2 3 6" xfId="3127" xr:uid="{3467223F-B764-4715-AFE2-A6DA95F1CBE4}"/>
    <cellStyle name="Įprastas 5 2 2 4 2 3_8 priedas" xfId="1085" xr:uid="{00000000-0005-0000-0000-0000C2000000}"/>
    <cellStyle name="Įprastas 5 2 2 4 2 4" xfId="549" xr:uid="{00000000-0005-0000-0000-0000C3000000}"/>
    <cellStyle name="Įprastas 5 2 2 4 2 4 2" xfId="1450" xr:uid="{90D88BBF-9B23-4707-A663-C4272DFE98B2}"/>
    <cellStyle name="Įprastas 5 2 2 4 2 4 2 2" xfId="6154" xr:uid="{D7ADD1F4-8F69-4E73-AD04-02B58F064399}"/>
    <cellStyle name="Įprastas 5 2 2 4 2 4 2 3" xfId="7882" xr:uid="{AED09D10-133B-4CAD-B037-08F4151EF4A4}"/>
    <cellStyle name="Įprastas 5 2 2 4 2 4 2 4" xfId="4426" xr:uid="{A1D819E4-5EE5-4E6D-A79F-4BCCAE9C015F}"/>
    <cellStyle name="Įprastas 5 2 2 4 2 4 2_8 priedas" xfId="8549" xr:uid="{AB724D99-4D66-4C86-9AA9-F7D42CF37087}"/>
    <cellStyle name="Įprastas 5 2 2 4 2 4 3" xfId="2697" xr:uid="{7D11C4F3-6652-48BB-B3B5-FA73A0BEAEBA}"/>
    <cellStyle name="Įprastas 5 2 2 4 2 4 3 2" xfId="5290" xr:uid="{6C9C5BDE-1389-4BCE-ADE2-0F783CB872E4}"/>
    <cellStyle name="Įprastas 5 2 2 4 2 4 3_8 priedas" xfId="8550" xr:uid="{E470940A-4E97-4BFF-A33C-02C3A96DA38B}"/>
    <cellStyle name="Įprastas 5 2 2 4 2 4 4" xfId="7018" xr:uid="{5ECB5F4B-FA99-4B84-9C19-04AB22E32E39}"/>
    <cellStyle name="Įprastas 5 2 2 4 2 4 5" xfId="3562" xr:uid="{7719DDFD-AFCC-43D7-882F-50661A7CEB11}"/>
    <cellStyle name="Įprastas 5 2 2 4 2 4_8 priedas" xfId="8548" xr:uid="{A0E66ABF-A511-41E4-BD26-929B547C77F3}"/>
    <cellStyle name="Įprastas 5 2 2 4 2 5" xfId="1451" xr:uid="{7E8B12B4-FCDB-4E9A-A519-436519611CF1}"/>
    <cellStyle name="Įprastas 5 2 2 4 2 5 2" xfId="5717" xr:uid="{D3411E7D-3F2F-420D-BBC7-B24C9D54B541}"/>
    <cellStyle name="Įprastas 5 2 2 4 2 5 3" xfId="7445" xr:uid="{02CFE1D5-3BBB-4946-B6AF-41CC2E198917}"/>
    <cellStyle name="Įprastas 5 2 2 4 2 5 4" xfId="3989" xr:uid="{F4E5D589-F231-4A47-819C-905F7A2A2ECA}"/>
    <cellStyle name="Įprastas 5 2 2 4 2 5_8 priedas" xfId="8551" xr:uid="{3F137FC8-DCFE-4AD0-887D-24A35F060662}"/>
    <cellStyle name="Įprastas 5 2 2 4 2 6" xfId="2260" xr:uid="{85A9151B-DA97-4E05-8C80-037C6631CBEB}"/>
    <cellStyle name="Įprastas 5 2 2 4 2 6 2" xfId="4853" xr:uid="{1BC1D71C-96A5-4FD5-9F0C-C74D54C33A19}"/>
    <cellStyle name="Įprastas 5 2 2 4 2 6_8 priedas" xfId="8552" xr:uid="{45AE4F68-A4BB-4E23-A46D-235F728134CE}"/>
    <cellStyle name="Įprastas 5 2 2 4 2 7" xfId="6581" xr:uid="{F49B6DAF-D3B8-42DE-AB09-C52BC0E1DCEE}"/>
    <cellStyle name="Įprastas 5 2 2 4 2 8" xfId="3125" xr:uid="{2048A587-30A1-4111-8D57-A8804EB3CFF5}"/>
    <cellStyle name="Įprastas 5 2 2 4 2_8 priedas" xfId="973" xr:uid="{00000000-0005-0000-0000-0000C4000000}"/>
    <cellStyle name="Įprastas 5 2 2 4 3" xfId="95" xr:uid="{00000000-0005-0000-0000-0000C5000000}"/>
    <cellStyle name="Įprastas 5 2 2 4 3 2" xfId="96" xr:uid="{00000000-0005-0000-0000-0000C6000000}"/>
    <cellStyle name="Įprastas 5 2 2 4 3 2 2" xfId="741" xr:uid="{00000000-0005-0000-0000-0000C7000000}"/>
    <cellStyle name="Įprastas 5 2 2 4 3 2 2 2" xfId="1452" xr:uid="{EF1E06B8-AA42-49CE-B04B-7BC16CB53CD8}"/>
    <cellStyle name="Įprastas 5 2 2 4 3 2 2 2 2" xfId="6346" xr:uid="{5119FE8C-BC82-44AC-9D80-7B2025676F79}"/>
    <cellStyle name="Įprastas 5 2 2 4 3 2 2 2 3" xfId="8074" xr:uid="{AAED1775-964F-4FC9-9C6E-FC9F2CD0455D}"/>
    <cellStyle name="Įprastas 5 2 2 4 3 2 2 2 4" xfId="4618" xr:uid="{A842C315-507B-40E5-A81B-BA0800F5977B}"/>
    <cellStyle name="Įprastas 5 2 2 4 3 2 2 2_8 priedas" xfId="8554" xr:uid="{D74A6BC7-9093-4DB1-BEB8-C24D9B1C68AC}"/>
    <cellStyle name="Įprastas 5 2 2 4 3 2 2 3" xfId="2889" xr:uid="{8C9CA332-0179-479C-AAC5-812EC9703864}"/>
    <cellStyle name="Įprastas 5 2 2 4 3 2 2 3 2" xfId="5482" xr:uid="{DF414BEC-E072-4003-8303-C75312953F8C}"/>
    <cellStyle name="Įprastas 5 2 2 4 3 2 2 3_8 priedas" xfId="8555" xr:uid="{92CEA36A-06C9-4A09-8AB8-F15A2B4B6D10}"/>
    <cellStyle name="Įprastas 5 2 2 4 3 2 2 4" xfId="7210" xr:uid="{6D42C1BE-3D40-4A83-8AD4-E3701ED94C3B}"/>
    <cellStyle name="Įprastas 5 2 2 4 3 2 2 5" xfId="3754" xr:uid="{8E97DB73-4D77-4F52-B5EF-88D73F6562B2}"/>
    <cellStyle name="Įprastas 5 2 2 4 3 2 2_8 priedas" xfId="8553" xr:uid="{E48B0D7D-63C3-4878-9F4B-941CED8BD0DE}"/>
    <cellStyle name="Įprastas 5 2 2 4 3 2 3" xfId="1453" xr:uid="{DF64CAAF-9A75-45C7-9987-78C1697CA792}"/>
    <cellStyle name="Įprastas 5 2 2 4 3 2 3 2" xfId="5721" xr:uid="{46E31DCB-B3A1-4C7B-8D9C-B5D617FD7A49}"/>
    <cellStyle name="Įprastas 5 2 2 4 3 2 3 3" xfId="7449" xr:uid="{9CEAFEBA-34AA-4985-AA29-0D6DDCACDADA}"/>
    <cellStyle name="Įprastas 5 2 2 4 3 2 3 4" xfId="3993" xr:uid="{16C3D6B5-38B2-45E5-850F-4501C7416C6A}"/>
    <cellStyle name="Įprastas 5 2 2 4 3 2 3_8 priedas" xfId="8556" xr:uid="{42F770B3-FB94-440D-9CBD-8B0A049F2485}"/>
    <cellStyle name="Įprastas 5 2 2 4 3 2 4" xfId="2264" xr:uid="{8DBEDC22-A610-42DB-AD9F-734347EEAC03}"/>
    <cellStyle name="Įprastas 5 2 2 4 3 2 4 2" xfId="4857" xr:uid="{4DED757B-D0E7-4C5F-A85D-5F97491DCBEF}"/>
    <cellStyle name="Įprastas 5 2 2 4 3 2 4_8 priedas" xfId="8557" xr:uid="{EB40C38E-BEAE-404F-9FCF-716AFFB317BC}"/>
    <cellStyle name="Įprastas 5 2 2 4 3 2 5" xfId="6585" xr:uid="{EF2C571A-653B-4760-81AC-B31CD1A82BA4}"/>
    <cellStyle name="Įprastas 5 2 2 4 3 2 6" xfId="3129" xr:uid="{2A5D8787-B349-449C-9E7E-50EF2B04A94E}"/>
    <cellStyle name="Įprastas 5 2 2 4 3 2_8 priedas" xfId="1173" xr:uid="{00000000-0005-0000-0000-0000C8000000}"/>
    <cellStyle name="Įprastas 5 2 2 4 3 3" xfId="97" xr:uid="{00000000-0005-0000-0000-0000C9000000}"/>
    <cellStyle name="Įprastas 5 2 2 4 3 3 2" xfId="885" xr:uid="{00000000-0005-0000-0000-0000CA000000}"/>
    <cellStyle name="Įprastas 5 2 2 4 3 3 2 2" xfId="1454" xr:uid="{248D9DB4-957D-4F1F-9A4B-3D333A7DF005}"/>
    <cellStyle name="Įprastas 5 2 2 4 3 3 2 2 2" xfId="6490" xr:uid="{92807C27-5AB5-4B50-8FF2-9B162A860706}"/>
    <cellStyle name="Įprastas 5 2 2 4 3 3 2 2 3" xfId="8218" xr:uid="{834B5042-EBEF-4DEB-80E3-87B250D6C5CE}"/>
    <cellStyle name="Įprastas 5 2 2 4 3 3 2 2 4" xfId="4762" xr:uid="{56AD3A0D-FC13-4249-AC0E-27BD0C60E05B}"/>
    <cellStyle name="Įprastas 5 2 2 4 3 3 2 2_8 priedas" xfId="8559" xr:uid="{A5060EA1-5A63-42FA-BB8F-F5BCA889002A}"/>
    <cellStyle name="Įprastas 5 2 2 4 3 3 2 3" xfId="3033" xr:uid="{D5739066-3E80-4F33-86DE-1147C83680A6}"/>
    <cellStyle name="Įprastas 5 2 2 4 3 3 2 3 2" xfId="5626" xr:uid="{88CEEB38-866D-4735-9444-DDD007D3928A}"/>
    <cellStyle name="Įprastas 5 2 2 4 3 3 2 3_8 priedas" xfId="8560" xr:uid="{76FC3519-C2A6-4295-A799-C5D51F20838D}"/>
    <cellStyle name="Įprastas 5 2 2 4 3 3 2 4" xfId="7354" xr:uid="{CF2D36C3-3EFC-4F79-B146-029A52542793}"/>
    <cellStyle name="Įprastas 5 2 2 4 3 3 2 5" xfId="3898" xr:uid="{AC103288-BDBD-451D-BE3A-8643189BB553}"/>
    <cellStyle name="Įprastas 5 2 2 4 3 3 2_8 priedas" xfId="8558" xr:uid="{5D4DE029-BFBF-44D0-A964-8FF2A15671FF}"/>
    <cellStyle name="Įprastas 5 2 2 4 3 3 3" xfId="1455" xr:uid="{C07FE29C-2018-4DEC-8D2B-BA4B04EC6E82}"/>
    <cellStyle name="Įprastas 5 2 2 4 3 3 3 2" xfId="5722" xr:uid="{DB39B3A6-F11E-4070-85E3-2DFD85166DE6}"/>
    <cellStyle name="Įprastas 5 2 2 4 3 3 3 3" xfId="7450" xr:uid="{5659FE3F-5DED-49A3-B9AA-8AAF2158F2C9}"/>
    <cellStyle name="Įprastas 5 2 2 4 3 3 3 4" xfId="3994" xr:uid="{034C2A67-DC8C-4640-8457-27DA014959D7}"/>
    <cellStyle name="Įprastas 5 2 2 4 3 3 3_8 priedas" xfId="8561" xr:uid="{284E0FA3-A54B-404B-86EA-D8840EFE213E}"/>
    <cellStyle name="Įprastas 5 2 2 4 3 3 4" xfId="2265" xr:uid="{6CE3D4AB-482D-42D1-AE93-BDD045746095}"/>
    <cellStyle name="Įprastas 5 2 2 4 3 3 4 2" xfId="4858" xr:uid="{0C2001DD-28B4-4F8A-A879-6155F6A87C23}"/>
    <cellStyle name="Įprastas 5 2 2 4 3 3 4_8 priedas" xfId="8562" xr:uid="{6C97879B-6D1B-4F8F-977E-D7023D7EA5DC}"/>
    <cellStyle name="Įprastas 5 2 2 4 3 3 5" xfId="6586" xr:uid="{107688D4-7969-4BF6-9B02-6A3E6D3C7E94}"/>
    <cellStyle name="Įprastas 5 2 2 4 3 3 6" xfId="3130" xr:uid="{2133368A-A421-4FAD-8AB6-67FB11AF69DA}"/>
    <cellStyle name="Įprastas 5 2 2 4 3 3_8 priedas" xfId="1037" xr:uid="{00000000-0005-0000-0000-0000CB000000}"/>
    <cellStyle name="Įprastas 5 2 2 4 3 4" xfId="597" xr:uid="{00000000-0005-0000-0000-0000CC000000}"/>
    <cellStyle name="Įprastas 5 2 2 4 3 4 2" xfId="1456" xr:uid="{33F6DC88-1680-4F0F-92FD-1E6A9C7B969B}"/>
    <cellStyle name="Įprastas 5 2 2 4 3 4 2 2" xfId="6202" xr:uid="{3B432910-9B55-4188-B637-960C1A3DFABE}"/>
    <cellStyle name="Įprastas 5 2 2 4 3 4 2 3" xfId="7930" xr:uid="{03718007-5D65-4562-8326-6B4A1AD20BAB}"/>
    <cellStyle name="Įprastas 5 2 2 4 3 4 2 4" xfId="4474" xr:uid="{3444428E-88AA-452E-B035-3DF3C39CC127}"/>
    <cellStyle name="Įprastas 5 2 2 4 3 4 2_8 priedas" xfId="8564" xr:uid="{EB55D816-A49A-453C-809B-34D4FDB842A0}"/>
    <cellStyle name="Įprastas 5 2 2 4 3 4 3" xfId="2745" xr:uid="{542DE64E-F63F-4DBA-824C-278F042A1537}"/>
    <cellStyle name="Įprastas 5 2 2 4 3 4 3 2" xfId="5338" xr:uid="{5588EF34-5852-42F9-9559-9E84DE1A1C0D}"/>
    <cellStyle name="Įprastas 5 2 2 4 3 4 3_8 priedas" xfId="8565" xr:uid="{2DA9C554-A42E-4BF9-9CCF-2FA8C0EE4E7F}"/>
    <cellStyle name="Įprastas 5 2 2 4 3 4 4" xfId="7066" xr:uid="{942C0093-FD85-4472-85EF-B3241C4C0728}"/>
    <cellStyle name="Įprastas 5 2 2 4 3 4 5" xfId="3610" xr:uid="{B796C3F4-31A6-42C7-88DB-B934892D98AD}"/>
    <cellStyle name="Įprastas 5 2 2 4 3 4_8 priedas" xfId="8563" xr:uid="{AA306E33-0229-4281-87EB-9E19BF9FAA43}"/>
    <cellStyle name="Įprastas 5 2 2 4 3 5" xfId="1457" xr:uid="{47BB5D14-AD72-4809-8952-3FC413D15752}"/>
    <cellStyle name="Įprastas 5 2 2 4 3 5 2" xfId="5720" xr:uid="{EF4F26A8-3A98-402F-9F3F-32BA53995717}"/>
    <cellStyle name="Įprastas 5 2 2 4 3 5 3" xfId="7448" xr:uid="{3425290D-C8F4-464A-B2D8-DE43048EFCD3}"/>
    <cellStyle name="Įprastas 5 2 2 4 3 5 4" xfId="3992" xr:uid="{A775FA48-953E-42F7-9490-E9F5914D1C3A}"/>
    <cellStyle name="Įprastas 5 2 2 4 3 5_8 priedas" xfId="8566" xr:uid="{86BF7369-9A62-4C6C-ACB5-4A7509F6AB3F}"/>
    <cellStyle name="Įprastas 5 2 2 4 3 6" xfId="2263" xr:uid="{CE960126-7DFB-4FF8-A2C8-DFAE428A1613}"/>
    <cellStyle name="Įprastas 5 2 2 4 3 6 2" xfId="4856" xr:uid="{7DB3EEBE-4816-4B38-AEDB-23B093A4BA5D}"/>
    <cellStyle name="Įprastas 5 2 2 4 3 6_8 priedas" xfId="8567" xr:uid="{A1C82A85-95A6-4395-8369-CD620823AF99}"/>
    <cellStyle name="Įprastas 5 2 2 4 3 7" xfId="6584" xr:uid="{FD150564-1E55-403F-A3F3-174DA8CE697A}"/>
    <cellStyle name="Įprastas 5 2 2 4 3 8" xfId="3128" xr:uid="{0588A61D-2AD4-4A1B-BE21-8F889C796AD4}"/>
    <cellStyle name="Įprastas 5 2 2 4 3_8 priedas" xfId="1310" xr:uid="{00000000-0005-0000-0000-0000CD000000}"/>
    <cellStyle name="Įprastas 5 2 2 4 4" xfId="98" xr:uid="{00000000-0005-0000-0000-0000CE000000}"/>
    <cellStyle name="Įprastas 5 2 2 4 4 2" xfId="645" xr:uid="{00000000-0005-0000-0000-0000CF000000}"/>
    <cellStyle name="Įprastas 5 2 2 4 4 2 2" xfId="1458" xr:uid="{3D087104-500F-4DAF-98E3-607FB3287F32}"/>
    <cellStyle name="Įprastas 5 2 2 4 4 2 2 2" xfId="6250" xr:uid="{BA403FD0-565F-4C14-8433-6F20FB3C5C0B}"/>
    <cellStyle name="Įprastas 5 2 2 4 4 2 2 3" xfId="7978" xr:uid="{85E673C5-C9F1-4B4B-A91C-8936A66A7B5A}"/>
    <cellStyle name="Įprastas 5 2 2 4 4 2 2 4" xfId="4522" xr:uid="{001CA169-1770-4942-BBCE-18B4B5093FD6}"/>
    <cellStyle name="Įprastas 5 2 2 4 4 2 2_8 priedas" xfId="8569" xr:uid="{FD98C0AD-66AC-426D-A2CB-5E5E35B455A0}"/>
    <cellStyle name="Įprastas 5 2 2 4 4 2 3" xfId="2793" xr:uid="{6A03990E-BB8B-41CD-B389-7067DE457981}"/>
    <cellStyle name="Įprastas 5 2 2 4 4 2 3 2" xfId="5386" xr:uid="{13DA91BA-9398-425D-AFBA-A3955266E341}"/>
    <cellStyle name="Įprastas 5 2 2 4 4 2 3_8 priedas" xfId="8570" xr:uid="{67BF06F8-B91F-4912-A2A1-18F6BC6A97C1}"/>
    <cellStyle name="Įprastas 5 2 2 4 4 2 4" xfId="7114" xr:uid="{758E17D1-6DD2-4DE4-8DD6-4D4BC465830B}"/>
    <cellStyle name="Įprastas 5 2 2 4 4 2 5" xfId="3658" xr:uid="{1D7296DA-F973-4BCB-B7D1-CD4B19BD566D}"/>
    <cellStyle name="Įprastas 5 2 2 4 4 2_8 priedas" xfId="8568" xr:uid="{BA8C3AF9-3799-426B-BB6F-EA906A4D9BF7}"/>
    <cellStyle name="Įprastas 5 2 2 4 4 3" xfId="1459" xr:uid="{F68D0FBA-95AC-43DF-9CCC-B2E8B6989B77}"/>
    <cellStyle name="Įprastas 5 2 2 4 4 3 2" xfId="5723" xr:uid="{C82F4602-4CFC-44A8-906F-B1641195FA58}"/>
    <cellStyle name="Įprastas 5 2 2 4 4 3 3" xfId="7451" xr:uid="{A14906DB-EDAD-41B7-9738-ED4D5C0BCF10}"/>
    <cellStyle name="Įprastas 5 2 2 4 4 3 4" xfId="3995" xr:uid="{BDBA5AF2-04B4-4DA6-A587-635827541536}"/>
    <cellStyle name="Įprastas 5 2 2 4 4 3_8 priedas" xfId="8571" xr:uid="{EE7123EC-4D69-4D2B-89CA-3B486E14D5EF}"/>
    <cellStyle name="Įprastas 5 2 2 4 4 4" xfId="2266" xr:uid="{038B8359-E8EF-4B53-B4D1-4AF5EBD148DC}"/>
    <cellStyle name="Įprastas 5 2 2 4 4 4 2" xfId="4859" xr:uid="{D780DDB8-AC21-42DF-A995-BB02452A8AFE}"/>
    <cellStyle name="Įprastas 5 2 2 4 4 4_8 priedas" xfId="8572" xr:uid="{FAD95E85-3923-48FF-BB3B-3CEACC4FA3CC}"/>
    <cellStyle name="Įprastas 5 2 2 4 4 5" xfId="6587" xr:uid="{4588CC37-5068-4736-8143-4C521AACA733}"/>
    <cellStyle name="Įprastas 5 2 2 4 4 6" xfId="3131" xr:uid="{11B4FD6F-F935-4597-90DD-87A702E8AC8F}"/>
    <cellStyle name="Įprastas 5 2 2 4 4_8 priedas" xfId="1261" xr:uid="{00000000-0005-0000-0000-0000D0000000}"/>
    <cellStyle name="Įprastas 5 2 2 4 5" xfId="99" xr:uid="{00000000-0005-0000-0000-0000D1000000}"/>
    <cellStyle name="Įprastas 5 2 2 4 5 2" xfId="789" xr:uid="{00000000-0005-0000-0000-0000D2000000}"/>
    <cellStyle name="Įprastas 5 2 2 4 5 2 2" xfId="1460" xr:uid="{5D84DD8C-9E6B-4E83-81E1-346D7643B2DE}"/>
    <cellStyle name="Įprastas 5 2 2 4 5 2 2 2" xfId="6394" xr:uid="{C4410873-CE3F-4E4D-B90F-F9C383502440}"/>
    <cellStyle name="Įprastas 5 2 2 4 5 2 2 3" xfId="8122" xr:uid="{8F65B2F4-987F-4321-8488-880E98A85B39}"/>
    <cellStyle name="Įprastas 5 2 2 4 5 2 2 4" xfId="4666" xr:uid="{3030A67D-9A4B-473B-9263-8B7548B1F63B}"/>
    <cellStyle name="Įprastas 5 2 2 4 5 2 2_8 priedas" xfId="8574" xr:uid="{17C457D0-8D3D-4546-9A3F-01E179DDFE4B}"/>
    <cellStyle name="Įprastas 5 2 2 4 5 2 3" xfId="2937" xr:uid="{50EBD3B8-B5EB-4D70-ACC3-8C8F1BABFD3A}"/>
    <cellStyle name="Įprastas 5 2 2 4 5 2 3 2" xfId="5530" xr:uid="{B8BFA63C-3EB5-4F9B-843C-6B7D1C8E5258}"/>
    <cellStyle name="Įprastas 5 2 2 4 5 2 3_8 priedas" xfId="8575" xr:uid="{A872E574-8D6B-45AD-A90C-F0CDA9AE8EBB}"/>
    <cellStyle name="Įprastas 5 2 2 4 5 2 4" xfId="7258" xr:uid="{A29008AC-F5E3-451D-8622-4BBA3E91D8B7}"/>
    <cellStyle name="Įprastas 5 2 2 4 5 2 5" xfId="3802" xr:uid="{FB0AB72F-5277-4EA2-8BA2-0BDB7E2C6A21}"/>
    <cellStyle name="Įprastas 5 2 2 4 5 2_8 priedas" xfId="8573" xr:uid="{8297B716-FFD2-47AF-BDCA-E49D6CAC8A21}"/>
    <cellStyle name="Įprastas 5 2 2 4 5 3" xfId="1461" xr:uid="{3F58703F-33A3-4E79-88CA-7E7C80E07E29}"/>
    <cellStyle name="Įprastas 5 2 2 4 5 3 2" xfId="5724" xr:uid="{89CC5BA1-B8DC-4F46-800C-A325446B9AB0}"/>
    <cellStyle name="Įprastas 5 2 2 4 5 3 3" xfId="7452" xr:uid="{0EAF8DC4-3324-4AAA-A5C1-9C1A82D80D6E}"/>
    <cellStyle name="Įprastas 5 2 2 4 5 3 4" xfId="3996" xr:uid="{0B50DF2F-7F42-4DFE-B8A9-E4B2AB0C011D}"/>
    <cellStyle name="Įprastas 5 2 2 4 5 3_8 priedas" xfId="8576" xr:uid="{DE4188EC-2617-4E14-A0C3-A63BD77D7FF0}"/>
    <cellStyle name="Įprastas 5 2 2 4 5 4" xfId="2267" xr:uid="{A9DFC75E-FDA9-4CC5-BA61-643C530E15A7}"/>
    <cellStyle name="Įprastas 5 2 2 4 5 4 2" xfId="4860" xr:uid="{8EEE9605-70A0-4F96-93C8-71AE2E56D1F3}"/>
    <cellStyle name="Įprastas 5 2 2 4 5 4_8 priedas" xfId="8577" xr:uid="{52987603-0B8D-4F86-A881-91E9A7C8CFEB}"/>
    <cellStyle name="Įprastas 5 2 2 4 5 5" xfId="6588" xr:uid="{F5BCEE2A-C7B9-4165-A87C-13D264B310DC}"/>
    <cellStyle name="Įprastas 5 2 2 4 5 6" xfId="3132" xr:uid="{D7CF3FC0-0661-4076-9BA9-875C39ACDAA6}"/>
    <cellStyle name="Įprastas 5 2 2 4 5_8 priedas" xfId="1125" xr:uid="{00000000-0005-0000-0000-0000D3000000}"/>
    <cellStyle name="Įprastas 5 2 2 4 6" xfId="501" xr:uid="{00000000-0005-0000-0000-0000D4000000}"/>
    <cellStyle name="Įprastas 5 2 2 4 6 2" xfId="1462" xr:uid="{F3814C23-FE51-4715-8C20-A9B66FAD3296}"/>
    <cellStyle name="Įprastas 5 2 2 4 6 2 2" xfId="6106" xr:uid="{57917FAC-D8E4-4178-8846-9869E8DD346B}"/>
    <cellStyle name="Įprastas 5 2 2 4 6 2 3" xfId="7834" xr:uid="{B841561B-C67D-40A7-84A6-ECCBF67A6319}"/>
    <cellStyle name="Įprastas 5 2 2 4 6 2 4" xfId="4378" xr:uid="{664AEECC-267F-4B55-AE46-5D9DC18E6745}"/>
    <cellStyle name="Įprastas 5 2 2 4 6 2_8 priedas" xfId="8579" xr:uid="{AC2B55A4-E45D-4448-B783-5F84E8D8347D}"/>
    <cellStyle name="Įprastas 5 2 2 4 6 3" xfId="2649" xr:uid="{E79F246E-7103-43BB-95D9-8634F33D4330}"/>
    <cellStyle name="Įprastas 5 2 2 4 6 3 2" xfId="5242" xr:uid="{879C5DB5-346A-4E3F-9163-9E5D44214B59}"/>
    <cellStyle name="Įprastas 5 2 2 4 6 3_8 priedas" xfId="8580" xr:uid="{E3D13789-48E0-4F78-B1A9-ED59F3FFE676}"/>
    <cellStyle name="Įprastas 5 2 2 4 6 4" xfId="6970" xr:uid="{D4E760AE-A808-4C52-9481-7ABABCC3595F}"/>
    <cellStyle name="Įprastas 5 2 2 4 6 5" xfId="3514" xr:uid="{03E05AFE-6AE9-4222-94AB-9E8EBFE230F8}"/>
    <cellStyle name="Įprastas 5 2 2 4 6_8 priedas" xfId="8578" xr:uid="{BB330A3C-EDDD-4CA9-9533-1E31E1FCA72D}"/>
    <cellStyle name="Įprastas 5 2 2 4 7" xfId="1463" xr:uid="{68680FAC-B51D-4E34-B9D6-07A794A2F269}"/>
    <cellStyle name="Įprastas 5 2 2 4 7 2" xfId="5716" xr:uid="{3D73CE8B-D435-4517-94A9-8037A825ECC3}"/>
    <cellStyle name="Įprastas 5 2 2 4 7 3" xfId="7444" xr:uid="{53CFFAB7-A088-462A-898E-E39D631EA206}"/>
    <cellStyle name="Įprastas 5 2 2 4 7 4" xfId="3988" xr:uid="{C09DE83F-DCDF-41AB-8047-95DCB372D45D}"/>
    <cellStyle name="Įprastas 5 2 2 4 7_8 priedas" xfId="8581" xr:uid="{252063D2-8871-4526-AD3B-F06E7EB1A774}"/>
    <cellStyle name="Įprastas 5 2 2 4 8" xfId="2259" xr:uid="{1DE4B9CF-2E55-4A9B-BB9D-BD8748D73F05}"/>
    <cellStyle name="Įprastas 5 2 2 4 8 2" xfId="4852" xr:uid="{6969290F-E9C3-4B1B-A4C2-9990C654543B}"/>
    <cellStyle name="Įprastas 5 2 2 4 8_8 priedas" xfId="8582" xr:uid="{34B6642B-40D4-4CFD-A0C1-C5EF797A3B70}"/>
    <cellStyle name="Įprastas 5 2 2 4 9" xfId="6580" xr:uid="{12C6E26E-486D-411C-BA51-2FA59AB6CF4A}"/>
    <cellStyle name="Įprastas 5 2 2 4_8 priedas" xfId="1109" xr:uid="{00000000-0005-0000-0000-0000D5000000}"/>
    <cellStyle name="Įprastas 5 2 2 5" xfId="100" xr:uid="{00000000-0005-0000-0000-0000D6000000}"/>
    <cellStyle name="Įprastas 5 2 2 5 2" xfId="101" xr:uid="{00000000-0005-0000-0000-0000D7000000}"/>
    <cellStyle name="Įprastas 5 2 2 5 2 2" xfId="669" xr:uid="{00000000-0005-0000-0000-0000D8000000}"/>
    <cellStyle name="Įprastas 5 2 2 5 2 2 2" xfId="1464" xr:uid="{65B9D789-2055-4CCA-9239-D5DD510BF221}"/>
    <cellStyle name="Įprastas 5 2 2 5 2 2 2 2" xfId="6274" xr:uid="{3EDD5D21-920D-4A8F-A5FE-242050EEC665}"/>
    <cellStyle name="Įprastas 5 2 2 5 2 2 2 3" xfId="8002" xr:uid="{63EB4297-E21F-4A9C-8CF9-F96B80AD021E}"/>
    <cellStyle name="Įprastas 5 2 2 5 2 2 2 4" xfId="4546" xr:uid="{C7DC825D-8CEA-499E-ABCD-70AA74157232}"/>
    <cellStyle name="Įprastas 5 2 2 5 2 2 2_8 priedas" xfId="8584" xr:uid="{A5E17422-EBA4-4B60-9DC1-7656B45BCF5F}"/>
    <cellStyle name="Įprastas 5 2 2 5 2 2 3" xfId="2817" xr:uid="{860D90FF-CC68-4283-B7E9-F54BC0E1A784}"/>
    <cellStyle name="Įprastas 5 2 2 5 2 2 3 2" xfId="5410" xr:uid="{AACCF028-4047-44A2-A890-529596726652}"/>
    <cellStyle name="Įprastas 5 2 2 5 2 2 3_8 priedas" xfId="8585" xr:uid="{DAD7C76B-EFCA-4754-AA72-E7CEEE6F05F0}"/>
    <cellStyle name="Įprastas 5 2 2 5 2 2 4" xfId="7138" xr:uid="{6A17C041-646E-4D7D-9D9E-49DE794CDAD5}"/>
    <cellStyle name="Įprastas 5 2 2 5 2 2 5" xfId="3682" xr:uid="{FE160BEF-08E8-46D7-B89F-004B95485777}"/>
    <cellStyle name="Įprastas 5 2 2 5 2 2_8 priedas" xfId="8583" xr:uid="{8B3D8C30-A697-49C3-A6D0-52B09F12BD4F}"/>
    <cellStyle name="Įprastas 5 2 2 5 2 3" xfId="1465" xr:uid="{2ADA449C-D3E3-46EF-884C-2F1FA0A7D1A4}"/>
    <cellStyle name="Įprastas 5 2 2 5 2 3 2" xfId="5726" xr:uid="{04292839-92C6-4D57-A21A-ECAFF2151AD9}"/>
    <cellStyle name="Įprastas 5 2 2 5 2 3 3" xfId="7454" xr:uid="{28D5C7CD-BC43-49E6-A8BF-6C164D48515F}"/>
    <cellStyle name="Įprastas 5 2 2 5 2 3 4" xfId="3998" xr:uid="{41D6FEED-F0BC-4636-B6E9-D7714E189573}"/>
    <cellStyle name="Įprastas 5 2 2 5 2 3_8 priedas" xfId="8586" xr:uid="{F243DFDB-4F2A-46FA-9A7D-CC88BB2A9824}"/>
    <cellStyle name="Įprastas 5 2 2 5 2 4" xfId="2269" xr:uid="{17430D26-CD7E-40A7-B959-5C288419C818}"/>
    <cellStyle name="Įprastas 5 2 2 5 2 4 2" xfId="4862" xr:uid="{045B5AE3-B0FA-40D5-9562-8C08FB68172F}"/>
    <cellStyle name="Įprastas 5 2 2 5 2 4_8 priedas" xfId="8587" xr:uid="{63225697-37F7-4417-B3A3-A929BD875234}"/>
    <cellStyle name="Įprastas 5 2 2 5 2 5" xfId="6590" xr:uid="{5C458D8B-0D91-47CB-8FFB-A1DA93F79009}"/>
    <cellStyle name="Įprastas 5 2 2 5 2 6" xfId="3134" xr:uid="{D3DFCA0E-AEF4-4C57-A1DD-DC4042CA7F5B}"/>
    <cellStyle name="Įprastas 5 2 2 5 2_8 priedas" xfId="948" xr:uid="{00000000-0005-0000-0000-0000D9000000}"/>
    <cellStyle name="Įprastas 5 2 2 5 3" xfId="102" xr:uid="{00000000-0005-0000-0000-0000DA000000}"/>
    <cellStyle name="Įprastas 5 2 2 5 3 2" xfId="813" xr:uid="{00000000-0005-0000-0000-0000DB000000}"/>
    <cellStyle name="Įprastas 5 2 2 5 3 2 2" xfId="1466" xr:uid="{63FF1B0B-2E56-4C72-9BB9-A977FB7DE9C4}"/>
    <cellStyle name="Įprastas 5 2 2 5 3 2 2 2" xfId="6418" xr:uid="{E8570E93-EBD8-40BC-8E69-4B4A5A1A0151}"/>
    <cellStyle name="Įprastas 5 2 2 5 3 2 2 3" xfId="8146" xr:uid="{D8F34626-02B6-4F3A-8334-772643DD20BE}"/>
    <cellStyle name="Įprastas 5 2 2 5 3 2 2 4" xfId="4690" xr:uid="{071504FE-7BDD-4B5A-9668-A9427FA747C5}"/>
    <cellStyle name="Įprastas 5 2 2 5 3 2 2_8 priedas" xfId="8589" xr:uid="{1EABFF20-2514-480A-B1B5-184B72CE9D93}"/>
    <cellStyle name="Įprastas 5 2 2 5 3 2 3" xfId="2961" xr:uid="{7698A21B-61DC-491F-B940-B44A9A629C35}"/>
    <cellStyle name="Įprastas 5 2 2 5 3 2 3 2" xfId="5554" xr:uid="{D4B9C7E6-D988-4A66-A7EC-1AE6F3B34526}"/>
    <cellStyle name="Įprastas 5 2 2 5 3 2 3_8 priedas" xfId="8590" xr:uid="{A24C7CF5-F298-4F42-8972-A70FA98A4B56}"/>
    <cellStyle name="Įprastas 5 2 2 5 3 2 4" xfId="7282" xr:uid="{EE91258E-FCC0-4E8D-8014-38EE22BF0123}"/>
    <cellStyle name="Įprastas 5 2 2 5 3 2 5" xfId="3826" xr:uid="{A6A4982E-5BB9-4C69-9BB7-821F3057FFAB}"/>
    <cellStyle name="Įprastas 5 2 2 5 3 2_8 priedas" xfId="8588" xr:uid="{05A52DEC-B722-4175-BB9B-12C9CA0A4D52}"/>
    <cellStyle name="Įprastas 5 2 2 5 3 3" xfId="1467" xr:uid="{A350C48F-3C65-4A57-B229-0C832387E596}"/>
    <cellStyle name="Įprastas 5 2 2 5 3 3 2" xfId="5727" xr:uid="{A39C7D63-61D9-4452-AE98-91F47DF4D2E5}"/>
    <cellStyle name="Įprastas 5 2 2 5 3 3 3" xfId="7455" xr:uid="{8AEA77D4-51D1-48C4-AD67-40C492E89F6C}"/>
    <cellStyle name="Įprastas 5 2 2 5 3 3 4" xfId="3999" xr:uid="{9DDE7646-A3E8-4B8F-A064-0409FE4D0ADB}"/>
    <cellStyle name="Įprastas 5 2 2 5 3 3_8 priedas" xfId="8591" xr:uid="{A2764CE5-89D5-4A19-A71B-0EB99974BF23}"/>
    <cellStyle name="Įprastas 5 2 2 5 3 4" xfId="2270" xr:uid="{52847C72-E7E8-4303-8C64-7743EED58504}"/>
    <cellStyle name="Įprastas 5 2 2 5 3 4 2" xfId="4863" xr:uid="{81ABC364-D010-4521-8D4A-A934E6CE46B0}"/>
    <cellStyle name="Įprastas 5 2 2 5 3 4_8 priedas" xfId="8592" xr:uid="{94C94E91-562F-4379-9FBB-48748D5CD914}"/>
    <cellStyle name="Įprastas 5 2 2 5 3 5" xfId="6591" xr:uid="{F0B62D91-D46B-4E2B-A578-51DBAFECF116}"/>
    <cellStyle name="Įprastas 5 2 2 5 3 6" xfId="3135" xr:uid="{C8E2E20B-CD56-425E-BBB5-80AF7B805831}"/>
    <cellStyle name="Įprastas 5 2 2 5 3_8 priedas" xfId="1207" xr:uid="{00000000-0005-0000-0000-0000DC000000}"/>
    <cellStyle name="Įprastas 5 2 2 5 4" xfId="525" xr:uid="{00000000-0005-0000-0000-0000DD000000}"/>
    <cellStyle name="Įprastas 5 2 2 5 4 2" xfId="1468" xr:uid="{8E1B8D16-0618-4C01-9AE4-564FC650A640}"/>
    <cellStyle name="Įprastas 5 2 2 5 4 2 2" xfId="6130" xr:uid="{758CC8EC-7BF7-4507-B679-5FB6A7EE0BB8}"/>
    <cellStyle name="Įprastas 5 2 2 5 4 2 3" xfId="7858" xr:uid="{259128DC-AFDE-491E-B066-FEE8B3BA37FC}"/>
    <cellStyle name="Įprastas 5 2 2 5 4 2 4" xfId="4402" xr:uid="{FA507D30-FA7F-4FD8-A36A-67966725F7B3}"/>
    <cellStyle name="Įprastas 5 2 2 5 4 2_8 priedas" xfId="8594" xr:uid="{77A371AC-9D83-4FEE-9B0D-02259C8ACCBA}"/>
    <cellStyle name="Įprastas 5 2 2 5 4 3" xfId="2673" xr:uid="{28E871C4-A771-43EA-89A6-BFDD05C2DBDD}"/>
    <cellStyle name="Įprastas 5 2 2 5 4 3 2" xfId="5266" xr:uid="{05A952EF-9F31-485E-B940-EC85409D3B83}"/>
    <cellStyle name="Įprastas 5 2 2 5 4 3_8 priedas" xfId="8595" xr:uid="{A0A67163-06A5-42A8-B84D-30E782F9111D}"/>
    <cellStyle name="Įprastas 5 2 2 5 4 4" xfId="6994" xr:uid="{F9FDA0A1-EED1-4E84-9AE6-B3B6F803BF54}"/>
    <cellStyle name="Įprastas 5 2 2 5 4 5" xfId="3538" xr:uid="{BA0BF0D0-7726-4171-86A9-421A8DFF638F}"/>
    <cellStyle name="Įprastas 5 2 2 5 4_8 priedas" xfId="8593" xr:uid="{1F4280A5-4C5D-40AA-9698-18296B5935A6}"/>
    <cellStyle name="Įprastas 5 2 2 5 5" xfId="1469" xr:uid="{A98DFE69-433E-4381-8915-704E2F7A4686}"/>
    <cellStyle name="Įprastas 5 2 2 5 5 2" xfId="5725" xr:uid="{F9D0055C-0C99-4D35-9447-D3E47A6A9341}"/>
    <cellStyle name="Įprastas 5 2 2 5 5 3" xfId="7453" xr:uid="{33D044A3-695F-4549-999D-DEF6D7BEA6AE}"/>
    <cellStyle name="Įprastas 5 2 2 5 5 4" xfId="3997" xr:uid="{1EC6D0FD-F900-4190-AD9D-355378C92107}"/>
    <cellStyle name="Įprastas 5 2 2 5 5_8 priedas" xfId="8596" xr:uid="{1ED26551-F741-4CEA-B098-196326B18841}"/>
    <cellStyle name="Įprastas 5 2 2 5 6" xfId="2268" xr:uid="{1E08FF8E-E29E-4153-B0E0-6B6C5CE005F1}"/>
    <cellStyle name="Įprastas 5 2 2 5 6 2" xfId="4861" xr:uid="{95AC8A80-51B1-4725-B2C1-4189C5BBC82F}"/>
    <cellStyle name="Įprastas 5 2 2 5 6_8 priedas" xfId="8597" xr:uid="{4838070C-5157-4A54-817E-FE58C124CD36}"/>
    <cellStyle name="Įprastas 5 2 2 5 7" xfId="6589" xr:uid="{099815A7-39DD-499E-A5B1-97E7C730CF51}"/>
    <cellStyle name="Įprastas 5 2 2 5 8" xfId="3133" xr:uid="{484B5AB3-1D7B-4855-A388-221DF6C41554}"/>
    <cellStyle name="Įprastas 5 2 2 5_8 priedas" xfId="989" xr:uid="{00000000-0005-0000-0000-0000DE000000}"/>
    <cellStyle name="Įprastas 5 2 2 6" xfId="103" xr:uid="{00000000-0005-0000-0000-0000DF000000}"/>
    <cellStyle name="Įprastas 5 2 2 6 2" xfId="104" xr:uid="{00000000-0005-0000-0000-0000E0000000}"/>
    <cellStyle name="Įprastas 5 2 2 6 2 2" xfId="717" xr:uid="{00000000-0005-0000-0000-0000E1000000}"/>
    <cellStyle name="Įprastas 5 2 2 6 2 2 2" xfId="1470" xr:uid="{90271DAE-A941-4CB6-94ED-D8EE919D0F28}"/>
    <cellStyle name="Įprastas 5 2 2 6 2 2 2 2" xfId="6322" xr:uid="{6E55F611-1CFD-462A-AAD1-A0E7BE6DC113}"/>
    <cellStyle name="Įprastas 5 2 2 6 2 2 2 3" xfId="8050" xr:uid="{8A4BAA69-6B8E-4D77-997E-3C3F3DB8A5C7}"/>
    <cellStyle name="Įprastas 5 2 2 6 2 2 2 4" xfId="4594" xr:uid="{74EFA727-84DA-4CF1-B772-9061A379BB91}"/>
    <cellStyle name="Įprastas 5 2 2 6 2 2 2_8 priedas" xfId="8599" xr:uid="{E2459648-0A23-4673-879F-02C9FC4CE009}"/>
    <cellStyle name="Įprastas 5 2 2 6 2 2 3" xfId="2865" xr:uid="{9CB854D2-C787-4228-8BBB-87199F74790B}"/>
    <cellStyle name="Įprastas 5 2 2 6 2 2 3 2" xfId="5458" xr:uid="{27EB34A4-4225-41AF-AFFC-B09A477D0CA5}"/>
    <cellStyle name="Įprastas 5 2 2 6 2 2 3_8 priedas" xfId="8600" xr:uid="{F50C2A97-253A-408B-AFE9-0A9ABC74BBE2}"/>
    <cellStyle name="Įprastas 5 2 2 6 2 2 4" xfId="7186" xr:uid="{92F4E7B6-E346-4DDF-8899-F6E9B1299C64}"/>
    <cellStyle name="Įprastas 5 2 2 6 2 2 5" xfId="3730" xr:uid="{6B21B16E-EBD8-44DA-AA54-3437FE600A7F}"/>
    <cellStyle name="Įprastas 5 2 2 6 2 2_8 priedas" xfId="8598" xr:uid="{85DC94CD-133F-49EF-A176-379EFFB4B36A}"/>
    <cellStyle name="Įprastas 5 2 2 6 2 3" xfId="1471" xr:uid="{EF89C7EB-26EB-4158-8D40-0D7B3341600F}"/>
    <cellStyle name="Įprastas 5 2 2 6 2 3 2" xfId="5729" xr:uid="{F9046252-0160-43E9-AE1C-F027D630B54D}"/>
    <cellStyle name="Įprastas 5 2 2 6 2 3 3" xfId="7457" xr:uid="{327194E1-A9D3-422E-8335-534EDFFCBD8C}"/>
    <cellStyle name="Įprastas 5 2 2 6 2 3 4" xfId="4001" xr:uid="{A28ED6F4-A1AE-48E4-ACD7-5AB361E872B7}"/>
    <cellStyle name="Įprastas 5 2 2 6 2 3_8 priedas" xfId="8601" xr:uid="{E0959381-2435-48D1-8E35-201602E7E978}"/>
    <cellStyle name="Įprastas 5 2 2 6 2 4" xfId="2272" xr:uid="{3C98938E-6DAA-4838-8F6B-EF39EFFA91FA}"/>
    <cellStyle name="Įprastas 5 2 2 6 2 4 2" xfId="4865" xr:uid="{41E0ACE9-87B1-4F6F-A59F-1157F1B5079C}"/>
    <cellStyle name="Įprastas 5 2 2 6 2 4_8 priedas" xfId="8602" xr:uid="{888C2582-9A7E-420A-BDBD-8710E13636EA}"/>
    <cellStyle name="Įprastas 5 2 2 6 2 5" xfId="6593" xr:uid="{758F605F-40C7-4DAB-A68B-EDCC9234EB1B}"/>
    <cellStyle name="Įprastas 5 2 2 6 2 6" xfId="3137" xr:uid="{08D31505-C0C8-427D-9BFC-67CB9AB2E370}"/>
    <cellStyle name="Įprastas 5 2 2 6 2_8 priedas" xfId="1298" xr:uid="{00000000-0005-0000-0000-0000E2000000}"/>
    <cellStyle name="Įprastas 5 2 2 6 3" xfId="105" xr:uid="{00000000-0005-0000-0000-0000E3000000}"/>
    <cellStyle name="Įprastas 5 2 2 6 3 2" xfId="861" xr:uid="{00000000-0005-0000-0000-0000E4000000}"/>
    <cellStyle name="Įprastas 5 2 2 6 3 2 2" xfId="1472" xr:uid="{854C36DC-F781-45FB-ADBB-97AD1914707B}"/>
    <cellStyle name="Įprastas 5 2 2 6 3 2 2 2" xfId="6466" xr:uid="{E3F521B2-C775-44F7-87F6-7E23002FC43F}"/>
    <cellStyle name="Įprastas 5 2 2 6 3 2 2 3" xfId="8194" xr:uid="{460AF3FA-01CB-458F-912F-2B4DDACE94E3}"/>
    <cellStyle name="Įprastas 5 2 2 6 3 2 2 4" xfId="4738" xr:uid="{FEC719F2-9D82-42CB-815E-E82C9A2E088C}"/>
    <cellStyle name="Įprastas 5 2 2 6 3 2 2_8 priedas" xfId="8604" xr:uid="{C3F3DEA9-EBC7-4B9D-9529-2C8767BE6CEC}"/>
    <cellStyle name="Įprastas 5 2 2 6 3 2 3" xfId="3009" xr:uid="{2F798C8F-976B-4478-90E0-240D1C33C848}"/>
    <cellStyle name="Įprastas 5 2 2 6 3 2 3 2" xfId="5602" xr:uid="{AA8EE983-D812-408E-9B41-122C34065F0F}"/>
    <cellStyle name="Įprastas 5 2 2 6 3 2 3_8 priedas" xfId="8605" xr:uid="{B34B29B1-AB5F-43FE-8366-E199DC3EEDA3}"/>
    <cellStyle name="Įprastas 5 2 2 6 3 2 4" xfId="7330" xr:uid="{22ADE3AA-0D17-45ED-9C73-42FB620EF6D7}"/>
    <cellStyle name="Įprastas 5 2 2 6 3 2 5" xfId="3874" xr:uid="{991561C8-9E4D-4FDE-BFEE-52B77C323A65}"/>
    <cellStyle name="Įprastas 5 2 2 6 3 2_8 priedas" xfId="8603" xr:uid="{ADFDCD3E-6945-4B1B-9AE6-22572F3E1D01}"/>
    <cellStyle name="Įprastas 5 2 2 6 3 3" xfId="1473" xr:uid="{FBC6C639-70EA-4B30-B150-DF695B814575}"/>
    <cellStyle name="Įprastas 5 2 2 6 3 3 2" xfId="5730" xr:uid="{D37BD529-B07A-40C0-8433-DBCB0BCDB928}"/>
    <cellStyle name="Įprastas 5 2 2 6 3 3 3" xfId="7458" xr:uid="{972C1AA2-2D60-42E1-ADFE-69F5D6245C87}"/>
    <cellStyle name="Įprastas 5 2 2 6 3 3 4" xfId="4002" xr:uid="{AAA2564B-F4A4-42FA-85DD-22D3955A07B3}"/>
    <cellStyle name="Įprastas 5 2 2 6 3 3_8 priedas" xfId="8606" xr:uid="{DA4388FA-38A9-4CDF-869C-B019D8CE0675}"/>
    <cellStyle name="Įprastas 5 2 2 6 3 4" xfId="2273" xr:uid="{5604BD72-77D7-4809-A24D-C4282B3B716F}"/>
    <cellStyle name="Įprastas 5 2 2 6 3 4 2" xfId="4866" xr:uid="{5195939C-8899-41FD-8967-F89F4624D416}"/>
    <cellStyle name="Įprastas 5 2 2 6 3 4_8 priedas" xfId="8607" xr:uid="{A95AEE3E-778D-4A7D-B319-3EB9925935DB}"/>
    <cellStyle name="Įprastas 5 2 2 6 3 5" xfId="6594" xr:uid="{88B708F0-76A7-4D14-9B11-36DE461F0004}"/>
    <cellStyle name="Įprastas 5 2 2 6 3 6" xfId="3138" xr:uid="{D0FCDCCE-1A36-4B67-A503-1995B8C24F77}"/>
    <cellStyle name="Įprastas 5 2 2 6 3_8 priedas" xfId="1161" xr:uid="{00000000-0005-0000-0000-0000E5000000}"/>
    <cellStyle name="Įprastas 5 2 2 6 4" xfId="573" xr:uid="{00000000-0005-0000-0000-0000E6000000}"/>
    <cellStyle name="Įprastas 5 2 2 6 4 2" xfId="1474" xr:uid="{73BD0186-57DC-413B-98CB-3B84CD5E871C}"/>
    <cellStyle name="Įprastas 5 2 2 6 4 2 2" xfId="6178" xr:uid="{660C1AA7-0681-4871-A327-5ABABA3E9144}"/>
    <cellStyle name="Įprastas 5 2 2 6 4 2 3" xfId="7906" xr:uid="{B4925C6F-570A-4CD8-AE40-3D07D0D19A7B}"/>
    <cellStyle name="Įprastas 5 2 2 6 4 2 4" xfId="4450" xr:uid="{DA4106A8-8220-481E-82E9-67F690D20115}"/>
    <cellStyle name="Įprastas 5 2 2 6 4 2_8 priedas" xfId="8609" xr:uid="{95C71719-BD35-4010-8B20-2F0D1B7B955B}"/>
    <cellStyle name="Įprastas 5 2 2 6 4 3" xfId="2721" xr:uid="{9C128F70-FFA4-46B8-B70F-8601B717647A}"/>
    <cellStyle name="Įprastas 5 2 2 6 4 3 2" xfId="5314" xr:uid="{178214D6-3ABE-40F7-9D2B-5CCAC86405B4}"/>
    <cellStyle name="Įprastas 5 2 2 6 4 3_8 priedas" xfId="8610" xr:uid="{07A3A46E-BC2F-4A95-8CE3-0A20774A2911}"/>
    <cellStyle name="Įprastas 5 2 2 6 4 4" xfId="7042" xr:uid="{EC2D1A1B-75B2-48D0-AE11-228CB9A57BB8}"/>
    <cellStyle name="Įprastas 5 2 2 6 4 5" xfId="3586" xr:uid="{D6B025B1-BC5D-4F30-AB52-07072801B193}"/>
    <cellStyle name="Įprastas 5 2 2 6 4_8 priedas" xfId="8608" xr:uid="{7418893B-F778-4E28-9A76-2CC978B50BC0}"/>
    <cellStyle name="Įprastas 5 2 2 6 5" xfId="1475" xr:uid="{0671EBFA-597D-45BF-93F0-A3C791E637CC}"/>
    <cellStyle name="Įprastas 5 2 2 6 5 2" xfId="5728" xr:uid="{3B97FC81-C4D0-48ED-B50F-5EBA41F357B7}"/>
    <cellStyle name="Įprastas 5 2 2 6 5 3" xfId="7456" xr:uid="{AFD31985-C17A-4F4B-8BE7-5A25F20F5812}"/>
    <cellStyle name="Įprastas 5 2 2 6 5 4" xfId="4000" xr:uid="{8C94C821-7BC0-48AD-A56A-75E862F99A4F}"/>
    <cellStyle name="Įprastas 5 2 2 6 5_8 priedas" xfId="8611" xr:uid="{D90EE5F0-2E2D-474E-86A2-A281E19FDC94}"/>
    <cellStyle name="Įprastas 5 2 2 6 6" xfId="2271" xr:uid="{977E6F8F-0835-4092-9BCB-46FFEC6FBB78}"/>
    <cellStyle name="Įprastas 5 2 2 6 6 2" xfId="4864" xr:uid="{7ACF3BA8-839F-41F1-B598-397DBCAC5A02}"/>
    <cellStyle name="Įprastas 5 2 2 6 6_8 priedas" xfId="8612" xr:uid="{6AB97A20-AC18-43E2-8704-3D94D4CE2359}"/>
    <cellStyle name="Įprastas 5 2 2 6 7" xfId="6592" xr:uid="{DD29E3D6-46BE-4E7A-B2D3-34C8AC3B6676}"/>
    <cellStyle name="Įprastas 5 2 2 6 8" xfId="3136" xr:uid="{804FDEA0-3A99-4A78-BC55-B907BAE33CA7}"/>
    <cellStyle name="Įprastas 5 2 2 6_8 priedas" xfId="1073" xr:uid="{00000000-0005-0000-0000-0000E7000000}"/>
    <cellStyle name="Įprastas 5 2 2 7" xfId="106" xr:uid="{00000000-0005-0000-0000-0000E8000000}"/>
    <cellStyle name="Įprastas 5 2 2 7 2" xfId="621" xr:uid="{00000000-0005-0000-0000-0000E9000000}"/>
    <cellStyle name="Įprastas 5 2 2 7 2 2" xfId="1476" xr:uid="{C2F7A0AC-16AF-4821-9098-F430545B4E11}"/>
    <cellStyle name="Įprastas 5 2 2 7 2 2 2" xfId="6226" xr:uid="{032CA539-BE85-4C83-9E6A-EFC920E1BEE2}"/>
    <cellStyle name="Įprastas 5 2 2 7 2 2 3" xfId="7954" xr:uid="{7291CB51-450C-4DCD-AD58-50FC2942BCCE}"/>
    <cellStyle name="Įprastas 5 2 2 7 2 2 4" xfId="4498" xr:uid="{6DDB576A-13A2-441D-AEB3-AB92819A937E}"/>
    <cellStyle name="Įprastas 5 2 2 7 2 2_8 priedas" xfId="8614" xr:uid="{5D6397D8-9234-4338-873F-BEA03F773204}"/>
    <cellStyle name="Įprastas 5 2 2 7 2 3" xfId="2769" xr:uid="{79CAA2FB-64D0-460C-BFB6-B676E6408C8C}"/>
    <cellStyle name="Įprastas 5 2 2 7 2 3 2" xfId="5362" xr:uid="{53E04CBF-B273-4CD0-8575-B081FD1725C9}"/>
    <cellStyle name="Įprastas 5 2 2 7 2 3_8 priedas" xfId="8615" xr:uid="{196929B9-C2A4-46FF-B3EA-25D0B22B5B21}"/>
    <cellStyle name="Įprastas 5 2 2 7 2 4" xfId="7090" xr:uid="{7A3F8D55-F282-45A0-8156-BA38DE19BB3E}"/>
    <cellStyle name="Įprastas 5 2 2 7 2 5" xfId="3634" xr:uid="{088A3C9F-AB9F-4660-86A9-89B58BA73C70}"/>
    <cellStyle name="Įprastas 5 2 2 7 2_8 priedas" xfId="8613" xr:uid="{BC6D6B78-1121-43C1-A23F-3D8A3DE0B249}"/>
    <cellStyle name="Įprastas 5 2 2 7 3" xfId="1477" xr:uid="{F05E32E4-C8FF-44F5-B55B-EB115D02115E}"/>
    <cellStyle name="Įprastas 5 2 2 7 3 2" xfId="5731" xr:uid="{EBB3E07E-853A-4C19-9311-3F6389A75285}"/>
    <cellStyle name="Įprastas 5 2 2 7 3 3" xfId="7459" xr:uid="{2BF2FC29-37E5-485B-B80C-0EE44C0B9BA9}"/>
    <cellStyle name="Įprastas 5 2 2 7 3 4" xfId="4003" xr:uid="{ED17B559-1881-4BE0-891C-6F843F522C4E}"/>
    <cellStyle name="Įprastas 5 2 2 7 3_8 priedas" xfId="8616" xr:uid="{346CDA47-8C25-4CDA-B0EF-E0D5864929D0}"/>
    <cellStyle name="Įprastas 5 2 2 7 4" xfId="2274" xr:uid="{51524E0E-BBC2-40CA-B58C-3C8407E3FF03}"/>
    <cellStyle name="Įprastas 5 2 2 7 4 2" xfId="4867" xr:uid="{23DBB3E7-4D7C-4E72-A506-67764127D1A7}"/>
    <cellStyle name="Įprastas 5 2 2 7 4_8 priedas" xfId="8617" xr:uid="{1D7B93AB-F29C-46BC-8D0B-C20BE3A775A5}"/>
    <cellStyle name="Įprastas 5 2 2 7 5" xfId="6595" xr:uid="{13B935DC-126C-4F77-BEA8-EB446F655C95}"/>
    <cellStyle name="Įprastas 5 2 2 7 6" xfId="3139" xr:uid="{16FC1D85-7E7E-48D8-A6A8-2CE428124829}"/>
    <cellStyle name="Įprastas 5 2 2 7_8 priedas" xfId="1026" xr:uid="{00000000-0005-0000-0000-0000EA000000}"/>
    <cellStyle name="Įprastas 5 2 2 8" xfId="107" xr:uid="{00000000-0005-0000-0000-0000EB000000}"/>
    <cellStyle name="Įprastas 5 2 2 8 2" xfId="765" xr:uid="{00000000-0005-0000-0000-0000EC000000}"/>
    <cellStyle name="Įprastas 5 2 2 8 2 2" xfId="1478" xr:uid="{CB3BC03B-55A2-48B7-9E84-DF3EB1F1DC49}"/>
    <cellStyle name="Įprastas 5 2 2 8 2 2 2" xfId="6370" xr:uid="{E43BAF22-F00C-4A48-B7B5-676E928C30AA}"/>
    <cellStyle name="Įprastas 5 2 2 8 2 2 3" xfId="8098" xr:uid="{ECEC9034-AE36-4517-A48A-0E87EF5CE18A}"/>
    <cellStyle name="Įprastas 5 2 2 8 2 2 4" xfId="4642" xr:uid="{8C87D0EC-9AC1-4CC0-A722-E680B4F79DFC}"/>
    <cellStyle name="Įprastas 5 2 2 8 2 2_8 priedas" xfId="8619" xr:uid="{9404E485-741B-4416-8FFB-CB2F6C4751D3}"/>
    <cellStyle name="Įprastas 5 2 2 8 2 3" xfId="2913" xr:uid="{84902E56-31EC-46C8-B607-94F407E10C18}"/>
    <cellStyle name="Įprastas 5 2 2 8 2 3 2" xfId="5506" xr:uid="{E0F72008-510D-4EB1-ABB0-0888DB97EABD}"/>
    <cellStyle name="Įprastas 5 2 2 8 2 3_8 priedas" xfId="8620" xr:uid="{66E54A7E-7476-4B96-A9C6-FCE0A4A4FBE0}"/>
    <cellStyle name="Įprastas 5 2 2 8 2 4" xfId="7234" xr:uid="{6D2B2F3D-ABEB-4836-8B77-80B1304DD00B}"/>
    <cellStyle name="Įprastas 5 2 2 8 2 5" xfId="3778" xr:uid="{0FAFB657-109D-4EC6-AB66-7C592F05C28A}"/>
    <cellStyle name="Įprastas 5 2 2 8 2_8 priedas" xfId="8618" xr:uid="{698014CF-F78E-44F2-BD05-F94EFDD45A27}"/>
    <cellStyle name="Įprastas 5 2 2 8 3" xfId="1479" xr:uid="{FA8BAE0D-1001-4D7F-8D47-2EF46A18A667}"/>
    <cellStyle name="Įprastas 5 2 2 8 3 2" xfId="5732" xr:uid="{1B3DBB1D-9BCE-4807-96EA-2A49388741DA}"/>
    <cellStyle name="Įprastas 5 2 2 8 3 3" xfId="7460" xr:uid="{F25E4395-A0EC-4E4D-A816-BCDDD81A99B3}"/>
    <cellStyle name="Įprastas 5 2 2 8 3 4" xfId="4004" xr:uid="{10B40517-11C6-4841-B785-61C7D8DACAAA}"/>
    <cellStyle name="Įprastas 5 2 2 8 3_8 priedas" xfId="8621" xr:uid="{A2A46770-6821-42A7-9E78-B61964D14F1E}"/>
    <cellStyle name="Įprastas 5 2 2 8 4" xfId="2275" xr:uid="{1F6E8BEC-DADC-4F08-B037-650801AC1B4C}"/>
    <cellStyle name="Įprastas 5 2 2 8 4 2" xfId="4868" xr:uid="{F0DEFEEF-525E-441B-B2CE-21BDDB73A74F}"/>
    <cellStyle name="Įprastas 5 2 2 8 4_8 priedas" xfId="8622" xr:uid="{774E61FA-B7F7-4253-86CE-7295AF6EE98C}"/>
    <cellStyle name="Įprastas 5 2 2 8 5" xfId="6596" xr:uid="{8C4E634D-D5B6-40DD-B0B4-0DDC325B4F4C}"/>
    <cellStyle name="Įprastas 5 2 2 8 6" xfId="3140" xr:uid="{E425F75D-4A80-4688-A0DB-5706230D9954}"/>
    <cellStyle name="Įprastas 5 2 2 8_8 priedas" xfId="1251" xr:uid="{00000000-0005-0000-0000-0000ED000000}"/>
    <cellStyle name="Įprastas 5 2 2 9" xfId="477" xr:uid="{00000000-0005-0000-0000-0000EE000000}"/>
    <cellStyle name="Įprastas 5 2 2 9 2" xfId="1480" xr:uid="{952D6553-D5DB-4814-ADE5-DFB2F2CC365A}"/>
    <cellStyle name="Įprastas 5 2 2 9 2 2" xfId="6082" xr:uid="{396CB286-1939-4592-AA76-79FEE52E6A53}"/>
    <cellStyle name="Įprastas 5 2 2 9 2 3" xfId="7810" xr:uid="{2DC9A5AB-70A0-4C86-A0E3-28C953BA6C37}"/>
    <cellStyle name="Įprastas 5 2 2 9 2 4" xfId="4354" xr:uid="{417BF1F9-4AF9-4676-9B18-FC19EF5A11BE}"/>
    <cellStyle name="Įprastas 5 2 2 9 2_8 priedas" xfId="8624" xr:uid="{593E4A3F-AC60-4B26-84BC-CC32CE825465}"/>
    <cellStyle name="Įprastas 5 2 2 9 3" xfId="2625" xr:uid="{CA761092-D7AD-476D-8C4E-7D9ACBC0EB8E}"/>
    <cellStyle name="Įprastas 5 2 2 9 3 2" xfId="5218" xr:uid="{57445BAB-A2DD-40B3-AD15-7D37CD2C560C}"/>
    <cellStyle name="Įprastas 5 2 2 9 3_8 priedas" xfId="8625" xr:uid="{CE71132E-F94D-47B0-9482-EA1254635101}"/>
    <cellStyle name="Įprastas 5 2 2 9 4" xfId="6946" xr:uid="{C382C8FD-4542-40FB-A889-A1439991F4C6}"/>
    <cellStyle name="Įprastas 5 2 2 9 5" xfId="3490" xr:uid="{15780CDF-2EA5-44D7-B237-6C811DFF81F1}"/>
    <cellStyle name="Įprastas 5 2 2 9_8 priedas" xfId="8623" xr:uid="{11426101-4AB0-49B1-9DED-F76354FA3891}"/>
    <cellStyle name="Įprastas 5 2 2_8 priedas" xfId="28" xr:uid="{00000000-0005-0000-0000-0000EF000000}"/>
    <cellStyle name="Įprastas 5 2 3" xfId="16" xr:uid="{00000000-0005-0000-0000-0000F0000000}"/>
    <cellStyle name="Įprastas 5 2 3 10" xfId="1481" xr:uid="{8C4339D6-510D-4843-9E0D-E86FE419D72E}"/>
    <cellStyle name="Įprastas 5 2 3 10 2" xfId="5651" xr:uid="{229E7414-3AA4-490F-876A-12E55163BEB7}"/>
    <cellStyle name="Įprastas 5 2 3 10 3" xfId="7379" xr:uid="{431B150C-B533-4347-9B85-A0A2A2082FA8}"/>
    <cellStyle name="Įprastas 5 2 3 10 4" xfId="3923" xr:uid="{A1A0E45E-E169-43C6-897C-8C7C01065B05}"/>
    <cellStyle name="Įprastas 5 2 3 10_8 priedas" xfId="8626" xr:uid="{4C478C9F-E6A3-4935-86C6-6D97CB91ED65}"/>
    <cellStyle name="Įprastas 5 2 3 11" xfId="2194" xr:uid="{C8CBD3A5-2843-401C-A3EA-FE3696512114}"/>
    <cellStyle name="Įprastas 5 2 3 11 2" xfId="4787" xr:uid="{9157B8C1-025B-46B0-A4BC-99BA94CA0AEC}"/>
    <cellStyle name="Įprastas 5 2 3 11_8 priedas" xfId="8627" xr:uid="{6149452C-C626-4041-9B90-D85194586AE7}"/>
    <cellStyle name="Įprastas 5 2 3 12" xfId="6515" xr:uid="{3CC8E994-F218-40F7-AF70-96D788CABF71}"/>
    <cellStyle name="Įprastas 5 2 3 13" xfId="3059" xr:uid="{9139703E-D298-48ED-B84E-28F9D83F1B42}"/>
    <cellStyle name="Įprastas 5 2 3 2" xfId="27" xr:uid="{00000000-0005-0000-0000-0000F1000000}"/>
    <cellStyle name="Įprastas 5 2 3 2 10" xfId="2202" xr:uid="{49CBB46A-979D-4971-85C1-745665F8F282}"/>
    <cellStyle name="Įprastas 5 2 3 2 10 2" xfId="4795" xr:uid="{B4F34EC4-FC60-4F1B-BA6F-50B5DCD0FE3C}"/>
    <cellStyle name="Įprastas 5 2 3 2 10_8 priedas" xfId="8628" xr:uid="{6A625E28-80E6-4215-A69B-55C0367F5675}"/>
    <cellStyle name="Įprastas 5 2 3 2 11" xfId="6523" xr:uid="{3615CC99-6B1C-420A-B104-766CFECE2DDE}"/>
    <cellStyle name="Įprastas 5 2 3 2 12" xfId="3067" xr:uid="{CDCF2F54-FB5F-443F-8BB9-D8C52132210D}"/>
    <cellStyle name="Įprastas 5 2 3 2 2" xfId="109" xr:uid="{00000000-0005-0000-0000-0000F2000000}"/>
    <cellStyle name="Įprastas 5 2 3 2 2 10" xfId="6597" xr:uid="{A831A072-AF23-4B87-8C02-EBA70AEAB191}"/>
    <cellStyle name="Įprastas 5 2 3 2 2 11" xfId="3141" xr:uid="{8356855B-9B5C-464E-855B-5371E4C2F5B6}"/>
    <cellStyle name="Įprastas 5 2 3 2 2 2" xfId="110" xr:uid="{00000000-0005-0000-0000-0000F3000000}"/>
    <cellStyle name="Įprastas 5 2 3 2 2 2 10" xfId="3142" xr:uid="{35D649CB-2B4C-44AE-99E1-298EA8EC0E00}"/>
    <cellStyle name="Įprastas 5 2 3 2 2 2 2" xfId="111" xr:uid="{00000000-0005-0000-0000-0000F4000000}"/>
    <cellStyle name="Įprastas 5 2 3 2 2 2 2 2" xfId="112" xr:uid="{00000000-0005-0000-0000-0000F5000000}"/>
    <cellStyle name="Įprastas 5 2 3 2 2 2 2 2 2" xfId="714" xr:uid="{00000000-0005-0000-0000-0000F6000000}"/>
    <cellStyle name="Įprastas 5 2 3 2 2 2 2 2 2 2" xfId="1482" xr:uid="{2FDF55C8-54E9-49F6-8FE7-371BECBFD249}"/>
    <cellStyle name="Įprastas 5 2 3 2 2 2 2 2 2 2 2" xfId="6319" xr:uid="{E44990FA-CBD4-469D-9253-28391D5862AF}"/>
    <cellStyle name="Įprastas 5 2 3 2 2 2 2 2 2 2 3" xfId="8047" xr:uid="{DAD2916F-B500-49F1-A88A-8F252ACB9C36}"/>
    <cellStyle name="Įprastas 5 2 3 2 2 2 2 2 2 2 4" xfId="4591" xr:uid="{03544454-A2F3-46E3-BA88-B2009ED38B4C}"/>
    <cellStyle name="Įprastas 5 2 3 2 2 2 2 2 2 2_8 priedas" xfId="8630" xr:uid="{61E6D4F6-2CB6-4FAB-9D8B-70A927CA75DF}"/>
    <cellStyle name="Įprastas 5 2 3 2 2 2 2 2 2 3" xfId="2862" xr:uid="{AC30278B-C45E-4C88-9E00-22F87C7DA7B6}"/>
    <cellStyle name="Įprastas 5 2 3 2 2 2 2 2 2 3 2" xfId="5455" xr:uid="{3B2D380B-D675-4D8B-A402-2935052B42DF}"/>
    <cellStyle name="Įprastas 5 2 3 2 2 2 2 2 2 3_8 priedas" xfId="8631" xr:uid="{0627C12B-1A8C-4F1D-8D08-A9C87A24C875}"/>
    <cellStyle name="Įprastas 5 2 3 2 2 2 2 2 2 4" xfId="7183" xr:uid="{56E5C340-6E7F-44D7-9063-9B407882E789}"/>
    <cellStyle name="Įprastas 5 2 3 2 2 2 2 2 2 5" xfId="3727" xr:uid="{1AC33899-085E-4851-A05C-2A502E5EAC63}"/>
    <cellStyle name="Įprastas 5 2 3 2 2 2 2 2 2_8 priedas" xfId="8629" xr:uid="{83F11416-DBE2-41E2-BDFE-D70E58590088}"/>
    <cellStyle name="Įprastas 5 2 3 2 2 2 2 2 3" xfId="1483" xr:uid="{353BEBB7-EF47-43FF-B38B-2277DEFE6886}"/>
    <cellStyle name="Įprastas 5 2 3 2 2 2 2 2 3 2" xfId="5736" xr:uid="{437BD2FA-FBB3-4D73-B77A-A6F3A5D78009}"/>
    <cellStyle name="Įprastas 5 2 3 2 2 2 2 2 3 3" xfId="7464" xr:uid="{AF3A35D1-3802-4466-94C5-939FA19503D7}"/>
    <cellStyle name="Įprastas 5 2 3 2 2 2 2 2 3 4" xfId="4008" xr:uid="{DE0A81C0-33F1-4AF5-B6EF-CAEC88AA4FFC}"/>
    <cellStyle name="Įprastas 5 2 3 2 2 2 2 2 3_8 priedas" xfId="8632" xr:uid="{4F5453B7-7A0D-4CBE-B8BB-8BBBFE4D43F5}"/>
    <cellStyle name="Įprastas 5 2 3 2 2 2 2 2 4" xfId="2279" xr:uid="{F7FE0431-581C-4F4C-BFA3-7B53E8F9E66A}"/>
    <cellStyle name="Įprastas 5 2 3 2 2 2 2 2 4 2" xfId="4872" xr:uid="{5E7200A6-DBD9-4A68-BAE3-132B91002F67}"/>
    <cellStyle name="Įprastas 5 2 3 2 2 2 2 2 4_8 priedas" xfId="8633" xr:uid="{DBAE3C95-FA62-4F31-9EEF-2448696744EA}"/>
    <cellStyle name="Įprastas 5 2 3 2 2 2 2 2 5" xfId="6600" xr:uid="{4BE9370B-940A-4A65-8AB0-7B216561AE60}"/>
    <cellStyle name="Įprastas 5 2 3 2 2 2 2 2 6" xfId="3144" xr:uid="{0FFFD598-1E1E-48BB-8752-B4F257593599}"/>
    <cellStyle name="Įprastas 5 2 3 2 2 2 2 2_8 priedas" xfId="1049" xr:uid="{00000000-0005-0000-0000-0000F7000000}"/>
    <cellStyle name="Įprastas 5 2 3 2 2 2 2 3" xfId="113" xr:uid="{00000000-0005-0000-0000-0000F8000000}"/>
    <cellStyle name="Įprastas 5 2 3 2 2 2 2 3 2" xfId="858" xr:uid="{00000000-0005-0000-0000-0000F9000000}"/>
    <cellStyle name="Įprastas 5 2 3 2 2 2 2 3 2 2" xfId="1484" xr:uid="{E8F915FD-48B7-48FA-B1A4-FA772D9AA7B2}"/>
    <cellStyle name="Įprastas 5 2 3 2 2 2 2 3 2 2 2" xfId="6463" xr:uid="{D8927588-C54D-4AC7-A261-493D61A88C4F}"/>
    <cellStyle name="Įprastas 5 2 3 2 2 2 2 3 2 2 3" xfId="8191" xr:uid="{675C6C0F-2821-469E-8DCC-A1397ECA9D85}"/>
    <cellStyle name="Įprastas 5 2 3 2 2 2 2 3 2 2 4" xfId="4735" xr:uid="{7F955C42-59DD-48A2-A91E-2C9F5FC6C97E}"/>
    <cellStyle name="Įprastas 5 2 3 2 2 2 2 3 2 2_8 priedas" xfId="8635" xr:uid="{A23A7B6B-65C5-433C-97D6-3B2036022BB7}"/>
    <cellStyle name="Įprastas 5 2 3 2 2 2 2 3 2 3" xfId="3006" xr:uid="{CDEDDFB2-DF54-41B0-AE92-83F6BADFA9C4}"/>
    <cellStyle name="Įprastas 5 2 3 2 2 2 2 3 2 3 2" xfId="5599" xr:uid="{B81F3C34-8FAD-4801-8C04-58FE4EF418EA}"/>
    <cellStyle name="Įprastas 5 2 3 2 2 2 2 3 2 3_8 priedas" xfId="8636" xr:uid="{9F098368-059D-4E6E-859F-2BC738D704C1}"/>
    <cellStyle name="Įprastas 5 2 3 2 2 2 2 3 2 4" xfId="7327" xr:uid="{85B357AD-BE4D-4C72-81A9-C462EA65B623}"/>
    <cellStyle name="Įprastas 5 2 3 2 2 2 2 3 2 5" xfId="3871" xr:uid="{DC42ED59-A8D9-44E1-9B4B-C93B1D9DE85F}"/>
    <cellStyle name="Įprastas 5 2 3 2 2 2 2 3 2_8 priedas" xfId="8634" xr:uid="{2946E895-2750-4997-A5C3-4C7A4E0A1D98}"/>
    <cellStyle name="Įprastas 5 2 3 2 2 2 2 3 3" xfId="1485" xr:uid="{75EE8316-EFAD-47BD-8C6C-B272C4EEFE56}"/>
    <cellStyle name="Įprastas 5 2 3 2 2 2 2 3 3 2" xfId="5737" xr:uid="{3607D52D-975A-4250-B702-DFEEA001503E}"/>
    <cellStyle name="Įprastas 5 2 3 2 2 2 2 3 3 3" xfId="7465" xr:uid="{630B7103-5D3B-4783-B0D8-E7CE9EBBF46B}"/>
    <cellStyle name="Įprastas 5 2 3 2 2 2 2 3 3 4" xfId="4009" xr:uid="{8AD74646-EB19-4797-BDAA-BC6C3BFB321E}"/>
    <cellStyle name="Įprastas 5 2 3 2 2 2 2 3 3_8 priedas" xfId="8637" xr:uid="{FF20F3AD-25B0-40C1-ADB7-8E52469074C9}"/>
    <cellStyle name="Įprastas 5 2 3 2 2 2 2 3 4" xfId="2280" xr:uid="{FD5D9BB3-423A-452A-89E0-1E7BD48CD5D9}"/>
    <cellStyle name="Įprastas 5 2 3 2 2 2 2 3 4 2" xfId="4873" xr:uid="{6E16FFF1-A757-497B-9FCB-53D1B1A17E0D}"/>
    <cellStyle name="Įprastas 5 2 3 2 2 2 2 3 4_8 priedas" xfId="8638" xr:uid="{5078EB31-AF09-4F01-B780-7A668618BD7E}"/>
    <cellStyle name="Įprastas 5 2 3 2 2 2 2 3 5" xfId="6601" xr:uid="{1BEFECAB-9388-4431-A9FC-8417B31853B8}"/>
    <cellStyle name="Įprastas 5 2 3 2 2 2 2 3 6" xfId="3145" xr:uid="{AAC4BEB7-B6FA-4A33-9E21-90F3B5DBBE9C}"/>
    <cellStyle name="Įprastas 5 2 3 2 2 2 2 3_8 priedas" xfId="1273" xr:uid="{00000000-0005-0000-0000-0000FA000000}"/>
    <cellStyle name="Įprastas 5 2 3 2 2 2 2 4" xfId="570" xr:uid="{00000000-0005-0000-0000-0000FB000000}"/>
    <cellStyle name="Įprastas 5 2 3 2 2 2 2 4 2" xfId="1486" xr:uid="{98B37BB1-1394-45C4-A8AE-B50F8EE9B140}"/>
    <cellStyle name="Įprastas 5 2 3 2 2 2 2 4 2 2" xfId="6175" xr:uid="{6FF70FE6-BE9E-47F9-A875-C30B740C83C4}"/>
    <cellStyle name="Įprastas 5 2 3 2 2 2 2 4 2 3" xfId="7903" xr:uid="{B5CAB31F-1E75-46EA-A018-D9A139A64E60}"/>
    <cellStyle name="Įprastas 5 2 3 2 2 2 2 4 2 4" xfId="4447" xr:uid="{9D955D8A-D38A-484C-984F-52CBEA13B081}"/>
    <cellStyle name="Įprastas 5 2 3 2 2 2 2 4 2_8 priedas" xfId="8640" xr:uid="{CA9CF37A-A71B-477B-BAAC-4DEAB37C4638}"/>
    <cellStyle name="Įprastas 5 2 3 2 2 2 2 4 3" xfId="2718" xr:uid="{169BE634-1D03-4101-B405-25A1E66D85CF}"/>
    <cellStyle name="Įprastas 5 2 3 2 2 2 2 4 3 2" xfId="5311" xr:uid="{C2AA4AE8-14A4-4CFA-A6B9-3D999DBDAB71}"/>
    <cellStyle name="Įprastas 5 2 3 2 2 2 2 4 3_8 priedas" xfId="8641" xr:uid="{C42BE8A4-9458-48A5-809C-47A8FDBC49FE}"/>
    <cellStyle name="Įprastas 5 2 3 2 2 2 2 4 4" xfId="7039" xr:uid="{2A76A377-C205-4582-A412-D071598DD236}"/>
    <cellStyle name="Įprastas 5 2 3 2 2 2 2 4 5" xfId="3583" xr:uid="{48F35C77-62E6-4067-A8EE-40C61E94DA32}"/>
    <cellStyle name="Įprastas 5 2 3 2 2 2 2 4_8 priedas" xfId="8639" xr:uid="{C5E32618-73CC-4F1E-8FAF-57A903C36D07}"/>
    <cellStyle name="Įprastas 5 2 3 2 2 2 2 5" xfId="1487" xr:uid="{3041B408-1CDA-4224-83EA-B6CC4D2DE0A2}"/>
    <cellStyle name="Įprastas 5 2 3 2 2 2 2 5 2" xfId="5735" xr:uid="{FF4D18A3-425F-441A-B826-2558E4E4DB86}"/>
    <cellStyle name="Įprastas 5 2 3 2 2 2 2 5 3" xfId="7463" xr:uid="{F38BF344-EAD8-4E49-AE68-1CEAC37ED85E}"/>
    <cellStyle name="Įprastas 5 2 3 2 2 2 2 5 4" xfId="4007" xr:uid="{9FD0AE32-4F46-4681-826A-38F31AD090FC}"/>
    <cellStyle name="Įprastas 5 2 3 2 2 2 2 5_8 priedas" xfId="8642" xr:uid="{42FBE8AD-3061-4F73-8B28-9A485DD13CD9}"/>
    <cellStyle name="Įprastas 5 2 3 2 2 2 2 6" xfId="2278" xr:uid="{2B497484-4BC5-4330-BAE6-5D3E8AA6A974}"/>
    <cellStyle name="Įprastas 5 2 3 2 2 2 2 6 2" xfId="4871" xr:uid="{5615E1C1-5534-497C-A056-83599EF08EBD}"/>
    <cellStyle name="Įprastas 5 2 3 2 2 2 2 6_8 priedas" xfId="8643" xr:uid="{DD56E2EE-EDFC-4F62-8508-B38B6C14EFF3}"/>
    <cellStyle name="Įprastas 5 2 3 2 2 2 2 7" xfId="6599" xr:uid="{6950DCE2-5C0F-43BD-A414-0E39DE7B3125}"/>
    <cellStyle name="Įprastas 5 2 3 2 2 2 2 8" xfId="3143" xr:uid="{46BD3333-560C-4A67-8C28-CCE46F5DD16B}"/>
    <cellStyle name="Įprastas 5 2 3 2 2 2 2_8 priedas" xfId="1185" xr:uid="{00000000-0005-0000-0000-0000FC000000}"/>
    <cellStyle name="Įprastas 5 2 3 2 2 2 3" xfId="114" xr:uid="{00000000-0005-0000-0000-0000FD000000}"/>
    <cellStyle name="Įprastas 5 2 3 2 2 2 3 2" xfId="115" xr:uid="{00000000-0005-0000-0000-0000FE000000}"/>
    <cellStyle name="Įprastas 5 2 3 2 2 2 3 2 2" xfId="762" xr:uid="{00000000-0005-0000-0000-0000FF000000}"/>
    <cellStyle name="Įprastas 5 2 3 2 2 2 3 2 2 2" xfId="1488" xr:uid="{A0C12A35-8872-494C-AA96-59839C4162B1}"/>
    <cellStyle name="Įprastas 5 2 3 2 2 2 3 2 2 2 2" xfId="6367" xr:uid="{77FAFAA5-4228-4AA9-9BD2-77917565F984}"/>
    <cellStyle name="Įprastas 5 2 3 2 2 2 3 2 2 2 3" xfId="8095" xr:uid="{6E26D409-8996-4086-BA6A-BA8A7BD8B2C4}"/>
    <cellStyle name="Įprastas 5 2 3 2 2 2 3 2 2 2 4" xfId="4639" xr:uid="{B5B94C6E-D77D-48BF-A79B-A1A2B63B6420}"/>
    <cellStyle name="Įprastas 5 2 3 2 2 2 3 2 2 2_8 priedas" xfId="8645" xr:uid="{E192F0EB-89FF-4658-894E-CC32BAB011B3}"/>
    <cellStyle name="Įprastas 5 2 3 2 2 2 3 2 2 3" xfId="2910" xr:uid="{9EAC38AF-9C02-4E3B-A9BC-921725178444}"/>
    <cellStyle name="Įprastas 5 2 3 2 2 2 3 2 2 3 2" xfId="5503" xr:uid="{3F1D2599-1F0D-46CC-AA7E-37BA2D820774}"/>
    <cellStyle name="Įprastas 5 2 3 2 2 2 3 2 2 3_8 priedas" xfId="8646" xr:uid="{6EAA6E8C-BB1D-41BD-9E50-404AD690797D}"/>
    <cellStyle name="Įprastas 5 2 3 2 2 2 3 2 2 4" xfId="7231" xr:uid="{F8DFB1B6-D01D-48A3-A54D-4FC771017CD9}"/>
    <cellStyle name="Įprastas 5 2 3 2 2 2 3 2 2 5" xfId="3775" xr:uid="{1FDB56E7-D825-41DB-932F-331E9AF5EAC3}"/>
    <cellStyle name="Įprastas 5 2 3 2 2 2 3 2 2_8 priedas" xfId="8644" xr:uid="{9C703B0B-B8F2-46A7-96EA-8A102F57086B}"/>
    <cellStyle name="Įprastas 5 2 3 2 2 2 3 2 3" xfId="1489" xr:uid="{D386881F-BE2E-48B2-81D1-5F05E23A5004}"/>
    <cellStyle name="Įprastas 5 2 3 2 2 2 3 2 3 2" xfId="5739" xr:uid="{3E5EEB3D-C4CA-4EF0-A239-B480B9A78E7E}"/>
    <cellStyle name="Įprastas 5 2 3 2 2 2 3 2 3 3" xfId="7467" xr:uid="{B7A4590A-F799-419C-A34C-9992B897A599}"/>
    <cellStyle name="Įprastas 5 2 3 2 2 2 3 2 3 4" xfId="4011" xr:uid="{BCED083F-FFD4-41EC-8A85-5FAA8BC29B65}"/>
    <cellStyle name="Įprastas 5 2 3 2 2 2 3 2 3_8 priedas" xfId="8647" xr:uid="{C780435F-A003-461D-9B86-1D5AC30CD3FC}"/>
    <cellStyle name="Įprastas 5 2 3 2 2 2 3 2 4" xfId="2282" xr:uid="{EA5884F4-ACCE-4C4B-B623-A847FDD921C7}"/>
    <cellStyle name="Įprastas 5 2 3 2 2 2 3 2 4 2" xfId="4875" xr:uid="{17D79138-9BE0-47D9-A8D2-0FDCFAA322B9}"/>
    <cellStyle name="Įprastas 5 2 3 2 2 2 3 2 4_8 priedas" xfId="8648" xr:uid="{3D5A8B05-CF93-433B-8D7D-4EE98D1880F5}"/>
    <cellStyle name="Įprastas 5 2 3 2 2 2 3 2 5" xfId="6603" xr:uid="{1A8608C2-7C53-42EE-8F56-0237501CBC15}"/>
    <cellStyle name="Įprastas 5 2 3 2 2 2 3 2 6" xfId="3147" xr:uid="{7BE89D28-BA46-4F2B-A422-6F66AA7CCB49}"/>
    <cellStyle name="Įprastas 5 2 3 2 2 2 3 2_8 priedas" xfId="1001" xr:uid="{00000000-0005-0000-0000-000000010000}"/>
    <cellStyle name="Įprastas 5 2 3 2 2 2 3 3" xfId="116" xr:uid="{00000000-0005-0000-0000-000001010000}"/>
    <cellStyle name="Įprastas 5 2 3 2 2 2 3 3 2" xfId="906" xr:uid="{00000000-0005-0000-0000-000002010000}"/>
    <cellStyle name="Įprastas 5 2 3 2 2 2 3 3 2 2" xfId="1490" xr:uid="{7A65F1DB-0CA8-4BC2-AF82-CB3E7047F44F}"/>
    <cellStyle name="Įprastas 5 2 3 2 2 2 3 3 2 2 2" xfId="6511" xr:uid="{42189ED8-AE7D-4999-8DF0-8197519DB541}"/>
    <cellStyle name="Įprastas 5 2 3 2 2 2 3 3 2 2 3" xfId="8239" xr:uid="{77C14DFF-B6A2-44D8-8796-D54616A087F3}"/>
    <cellStyle name="Įprastas 5 2 3 2 2 2 3 3 2 2 4" xfId="4783" xr:uid="{05C71DAA-DC4C-4010-8DFD-E2B5B8A15AB6}"/>
    <cellStyle name="Įprastas 5 2 3 2 2 2 3 3 2 2_8 priedas" xfId="8650" xr:uid="{B483CF6A-4493-486F-98F3-082E4C0EDCD2}"/>
    <cellStyle name="Įprastas 5 2 3 2 2 2 3 3 2 3" xfId="3054" xr:uid="{A639E893-B79D-4414-A92D-D3D04B911859}"/>
    <cellStyle name="Įprastas 5 2 3 2 2 2 3 3 2 3 2" xfId="5647" xr:uid="{7F862C2A-E831-4741-B459-412590742B25}"/>
    <cellStyle name="Įprastas 5 2 3 2 2 2 3 3 2 3_8 priedas" xfId="8651" xr:uid="{B24EBB3D-6749-4C54-BBE0-5EEAC4DB796E}"/>
    <cellStyle name="Įprastas 5 2 3 2 2 2 3 3 2 4" xfId="7375" xr:uid="{21398EFB-491F-42D5-9744-1A5DDEFB9F6A}"/>
    <cellStyle name="Įprastas 5 2 3 2 2 2 3 3 2 5" xfId="3919" xr:uid="{5734CC76-3C39-49F2-8A32-F734D1E70E55}"/>
    <cellStyle name="Įprastas 5 2 3 2 2 2 3 3 2_8 priedas" xfId="8649" xr:uid="{CD107FBD-A299-457C-9275-6608E0018005}"/>
    <cellStyle name="Įprastas 5 2 3 2 2 2 3 3 3" xfId="1491" xr:uid="{D2B3FDFE-65FD-4B79-960C-567C3B3AFC0D}"/>
    <cellStyle name="Įprastas 5 2 3 2 2 2 3 3 3 2" xfId="5740" xr:uid="{4A8F202A-9BFB-46E5-89B6-F1EA55DF5208}"/>
    <cellStyle name="Įprastas 5 2 3 2 2 2 3 3 3 3" xfId="7468" xr:uid="{E10C349D-2B48-4A52-9A71-BB8FA8BD1534}"/>
    <cellStyle name="Įprastas 5 2 3 2 2 2 3 3 3 4" xfId="4012" xr:uid="{D20E0143-DE21-41B4-B781-A0B6C4194C0A}"/>
    <cellStyle name="Įprastas 5 2 3 2 2 2 3 3 3_8 priedas" xfId="8652" xr:uid="{B6169E43-462F-4C2D-A39B-0C8F157CAAFA}"/>
    <cellStyle name="Įprastas 5 2 3 2 2 2 3 3 4" xfId="2283" xr:uid="{17BF0C60-F77E-4DA8-BC00-B3B8A8D6483F}"/>
    <cellStyle name="Įprastas 5 2 3 2 2 2 3 3 4 2" xfId="4876" xr:uid="{DDAA5B00-ACF5-4182-ADDC-44BA1944FF93}"/>
    <cellStyle name="Įprastas 5 2 3 2 2 2 3 3 4_8 priedas" xfId="8653" xr:uid="{76DD3A79-74BC-47C8-8E0A-1942D87DC8D4}"/>
    <cellStyle name="Įprastas 5 2 3 2 2 2 3 3 5" xfId="6604" xr:uid="{4FEC6223-4980-4B3F-AA22-F88AC7C1110F}"/>
    <cellStyle name="Įprastas 5 2 3 2 2 2 3 3 6" xfId="3148" xr:uid="{DB271348-F313-48BE-A53A-5D74414BC4A9}"/>
    <cellStyle name="Įprastas 5 2 3 2 2 2 3 3_8 priedas" xfId="960" xr:uid="{00000000-0005-0000-0000-000003010000}"/>
    <cellStyle name="Įprastas 5 2 3 2 2 2 3 4" xfId="618" xr:uid="{00000000-0005-0000-0000-000004010000}"/>
    <cellStyle name="Įprastas 5 2 3 2 2 2 3 4 2" xfId="1492" xr:uid="{5C545712-4DD2-4017-836A-8D9E95A23FF0}"/>
    <cellStyle name="Įprastas 5 2 3 2 2 2 3 4 2 2" xfId="6223" xr:uid="{3D84FE6B-88A4-452A-9175-FDE06C6B1D5F}"/>
    <cellStyle name="Įprastas 5 2 3 2 2 2 3 4 2 3" xfId="7951" xr:uid="{34DC2F33-0F00-4CA7-8A7F-26AF39F44F96}"/>
    <cellStyle name="Įprastas 5 2 3 2 2 2 3 4 2 4" xfId="4495" xr:uid="{C100CCA4-B6F1-4E97-8EE3-5F4C5B6E026B}"/>
    <cellStyle name="Įprastas 5 2 3 2 2 2 3 4 2_8 priedas" xfId="8655" xr:uid="{E466DAA3-1162-40FA-B113-71ED1CDF9404}"/>
    <cellStyle name="Įprastas 5 2 3 2 2 2 3 4 3" xfId="2766" xr:uid="{CC9242BB-55CB-4853-8DEF-3C57BFD741DF}"/>
    <cellStyle name="Įprastas 5 2 3 2 2 2 3 4 3 2" xfId="5359" xr:uid="{F068A687-F3FB-4F2A-9F23-BEC4AC23F96D}"/>
    <cellStyle name="Įprastas 5 2 3 2 2 2 3 4 3_8 priedas" xfId="8656" xr:uid="{2B4D60D4-D280-489E-A2C3-063D66F46274}"/>
    <cellStyle name="Įprastas 5 2 3 2 2 2 3 4 4" xfId="7087" xr:uid="{7F6B0D58-BC13-4E2E-888A-0384CC71BA5A}"/>
    <cellStyle name="Įprastas 5 2 3 2 2 2 3 4 5" xfId="3631" xr:uid="{58AE92B6-DBDA-4743-848D-37727DFD2EEB}"/>
    <cellStyle name="Įprastas 5 2 3 2 2 2 3 4_8 priedas" xfId="8654" xr:uid="{F6302916-0F48-463D-BA28-453D5056E0AE}"/>
    <cellStyle name="Įprastas 5 2 3 2 2 2 3 5" xfId="1493" xr:uid="{C41A377C-EC80-4C2A-B852-4E2F08885B22}"/>
    <cellStyle name="Įprastas 5 2 3 2 2 2 3 5 2" xfId="5738" xr:uid="{7100F992-2B7E-434B-B23D-70E182F8950F}"/>
    <cellStyle name="Įprastas 5 2 3 2 2 2 3 5 3" xfId="7466" xr:uid="{A95576BA-B855-44EE-B389-6CE526F4B886}"/>
    <cellStyle name="Įprastas 5 2 3 2 2 2 3 5 4" xfId="4010" xr:uid="{F3C02B14-B8C6-42FB-815A-08FCB10377D2}"/>
    <cellStyle name="Įprastas 5 2 3 2 2 2 3 5_8 priedas" xfId="8657" xr:uid="{EE98473D-7B4A-4B1F-A883-67EE17E36D72}"/>
    <cellStyle name="Įprastas 5 2 3 2 2 2 3 6" xfId="2281" xr:uid="{DAA7C5E9-C41A-47C3-84A7-B1A2B44C3D08}"/>
    <cellStyle name="Įprastas 5 2 3 2 2 2 3 6 2" xfId="4874" xr:uid="{BFA4D53B-629A-4465-BB05-74329F5A0E20}"/>
    <cellStyle name="Įprastas 5 2 3 2 2 2 3 6_8 priedas" xfId="8658" xr:uid="{045B006F-17FC-4995-8EB7-384CAB763DAF}"/>
    <cellStyle name="Įprastas 5 2 3 2 2 2 3 7" xfId="6602" xr:uid="{73AF3303-A505-461A-9846-12B39FFCC43C}"/>
    <cellStyle name="Įprastas 5 2 3 2 2 2 3 8" xfId="3146" xr:uid="{64D59297-CB2B-4BC4-9324-09DEAAA4DCD4}"/>
    <cellStyle name="Įprastas 5 2 3 2 2 2 3_8 priedas" xfId="1137" xr:uid="{00000000-0005-0000-0000-000005010000}"/>
    <cellStyle name="Įprastas 5 2 3 2 2 2 4" xfId="117" xr:uid="{00000000-0005-0000-0000-000006010000}"/>
    <cellStyle name="Įprastas 5 2 3 2 2 2 4 2" xfId="666" xr:uid="{00000000-0005-0000-0000-000007010000}"/>
    <cellStyle name="Įprastas 5 2 3 2 2 2 4 2 2" xfId="1494" xr:uid="{067DA62D-64E4-478F-AC2A-3221DA527E59}"/>
    <cellStyle name="Įprastas 5 2 3 2 2 2 4 2 2 2" xfId="6271" xr:uid="{566D83BA-9A81-40B8-8847-0656EB0C7C9F}"/>
    <cellStyle name="Įprastas 5 2 3 2 2 2 4 2 2 3" xfId="7999" xr:uid="{31AA9440-083B-4C51-9305-3F5BF2C7E853}"/>
    <cellStyle name="Įprastas 5 2 3 2 2 2 4 2 2 4" xfId="4543" xr:uid="{E2216454-B641-41B2-8521-B7C568F04208}"/>
    <cellStyle name="Įprastas 5 2 3 2 2 2 4 2 2_8 priedas" xfId="8660" xr:uid="{413AFC4B-8CF8-4398-A9AB-F057B724C744}"/>
    <cellStyle name="Įprastas 5 2 3 2 2 2 4 2 3" xfId="2814" xr:uid="{9AE4625A-01A8-414C-B76E-3D61D70BE462}"/>
    <cellStyle name="Įprastas 5 2 3 2 2 2 4 2 3 2" xfId="5407" xr:uid="{3FC2FAE8-4CB7-4657-902E-479D8EDE52F5}"/>
    <cellStyle name="Įprastas 5 2 3 2 2 2 4 2 3_8 priedas" xfId="8661" xr:uid="{4283DA5C-0076-4FB8-AFB3-251DD35633B1}"/>
    <cellStyle name="Įprastas 5 2 3 2 2 2 4 2 4" xfId="7135" xr:uid="{FB097E36-A1CD-48C2-AD42-2802631FB68B}"/>
    <cellStyle name="Įprastas 5 2 3 2 2 2 4 2 5" xfId="3679" xr:uid="{3BD9F494-2308-4C06-B098-45E2632937CD}"/>
    <cellStyle name="Įprastas 5 2 3 2 2 2 4 2_8 priedas" xfId="8659" xr:uid="{50291BA9-56BC-4137-86A1-9C1F6432D665}"/>
    <cellStyle name="Įprastas 5 2 3 2 2 2 4 3" xfId="1495" xr:uid="{B625DB42-D73C-4DA5-A0D0-9F2B812B5DF5}"/>
    <cellStyle name="Įprastas 5 2 3 2 2 2 4 3 2" xfId="5741" xr:uid="{067D733C-9F1F-4BAB-9ED5-76CFF3A09F52}"/>
    <cellStyle name="Įprastas 5 2 3 2 2 2 4 3 3" xfId="7469" xr:uid="{7F0723B1-6127-445C-967B-2C98CFE39770}"/>
    <cellStyle name="Įprastas 5 2 3 2 2 2 4 3 4" xfId="4013" xr:uid="{80B3C9B5-ADE6-4F30-A813-73403DF5801A}"/>
    <cellStyle name="Įprastas 5 2 3 2 2 2 4 3_8 priedas" xfId="8662" xr:uid="{0363057B-29B0-4EAF-B1B5-E1AD8B1D53DA}"/>
    <cellStyle name="Įprastas 5 2 3 2 2 2 4 4" xfId="2284" xr:uid="{4154322A-D2EB-4002-B1E6-746CB18D626E}"/>
    <cellStyle name="Įprastas 5 2 3 2 2 2 4 4 2" xfId="4877" xr:uid="{271F3B32-D8F7-4B70-865B-DF30DE9ADE87}"/>
    <cellStyle name="Įprastas 5 2 3 2 2 2 4 4_8 priedas" xfId="8663" xr:uid="{BD0A65E3-6311-4AE5-9BEF-6E966278D0DC}"/>
    <cellStyle name="Įprastas 5 2 3 2 2 2 4 5" xfId="6605" xr:uid="{8FEB0004-FF51-4831-A81B-E77C6C840B04}"/>
    <cellStyle name="Įprastas 5 2 3 2 2 2 4 6" xfId="3149" xr:uid="{2ED38A1C-2E7D-442E-9C86-A7D62533201B}"/>
    <cellStyle name="Įprastas 5 2 3 2 2 2 4_8 priedas" xfId="931" xr:uid="{00000000-0005-0000-0000-000008010000}"/>
    <cellStyle name="Įprastas 5 2 3 2 2 2 5" xfId="118" xr:uid="{00000000-0005-0000-0000-000009010000}"/>
    <cellStyle name="Įprastas 5 2 3 2 2 2 5 2" xfId="810" xr:uid="{00000000-0005-0000-0000-00000A010000}"/>
    <cellStyle name="Įprastas 5 2 3 2 2 2 5 2 2" xfId="1496" xr:uid="{BABE4057-69CA-43CF-8EF1-AFFAA833DC1E}"/>
    <cellStyle name="Įprastas 5 2 3 2 2 2 5 2 2 2" xfId="6415" xr:uid="{504CC781-EF82-4D89-8517-AC33C4B594F2}"/>
    <cellStyle name="Įprastas 5 2 3 2 2 2 5 2 2 3" xfId="8143" xr:uid="{BCEA143F-6BE4-4C9D-ACB5-1061DD917DB9}"/>
    <cellStyle name="Įprastas 5 2 3 2 2 2 5 2 2 4" xfId="4687" xr:uid="{97FD6BDD-D9EC-42D4-B8EA-660F8FC5CA11}"/>
    <cellStyle name="Įprastas 5 2 3 2 2 2 5 2 2_8 priedas" xfId="8665" xr:uid="{3A4755C4-98EB-449F-A0A8-D9E038661258}"/>
    <cellStyle name="Įprastas 5 2 3 2 2 2 5 2 3" xfId="2958" xr:uid="{8F005152-135B-43E7-BD6F-FF4FFC2C9B98}"/>
    <cellStyle name="Įprastas 5 2 3 2 2 2 5 2 3 2" xfId="5551" xr:uid="{018D690B-5636-493E-8321-7730B153E571}"/>
    <cellStyle name="Įprastas 5 2 3 2 2 2 5 2 3_8 priedas" xfId="8666" xr:uid="{C7C73B9E-BCE2-49D9-8E8C-B28FB655D908}"/>
    <cellStyle name="Įprastas 5 2 3 2 2 2 5 2 4" xfId="7279" xr:uid="{83969258-DF24-4966-A6C6-E7E5BC1623D0}"/>
    <cellStyle name="Įprastas 5 2 3 2 2 2 5 2 5" xfId="3823" xr:uid="{B5881C8A-5313-42C2-8AD4-3A279B2C6357}"/>
    <cellStyle name="Įprastas 5 2 3 2 2 2 5 2_8 priedas" xfId="8664" xr:uid="{A3DB2025-2046-478A-BA7D-9D8C5CBA0D3C}"/>
    <cellStyle name="Įprastas 5 2 3 2 2 2 5 3" xfId="1497" xr:uid="{EC43C09A-AB7C-4678-853A-8A67CF865C0F}"/>
    <cellStyle name="Įprastas 5 2 3 2 2 2 5 3 2" xfId="5742" xr:uid="{157CB9D3-F3AB-4C4C-9A80-2C743CBD2F88}"/>
    <cellStyle name="Įprastas 5 2 3 2 2 2 5 3 3" xfId="7470" xr:uid="{C5AA25C3-95D7-4E16-A9D3-27E18C0CBADC}"/>
    <cellStyle name="Įprastas 5 2 3 2 2 2 5 3 4" xfId="4014" xr:uid="{763D744A-D3D3-4B3E-9946-99DCB67D17B2}"/>
    <cellStyle name="Įprastas 5 2 3 2 2 2 5 3_8 priedas" xfId="8667" xr:uid="{0A9228C2-4F47-4CB5-A8EF-A555EFBBF857}"/>
    <cellStyle name="Įprastas 5 2 3 2 2 2 5 4" xfId="2285" xr:uid="{0470E550-315B-418D-9782-94E352337D25}"/>
    <cellStyle name="Įprastas 5 2 3 2 2 2 5 4 2" xfId="4878" xr:uid="{3DD1D6AB-9BA6-45BD-8D51-AB6C4CCB230E}"/>
    <cellStyle name="Įprastas 5 2 3 2 2 2 5 4_8 priedas" xfId="8668" xr:uid="{4E3CB956-8097-453C-A645-6B892950B341}"/>
    <cellStyle name="Įprastas 5 2 3 2 2 2 5 5" xfId="6606" xr:uid="{E4694ECD-1A74-4A41-A9BA-04DA03E414C9}"/>
    <cellStyle name="Įprastas 5 2 3 2 2 2 5 6" xfId="3150" xr:uid="{AB64B3AD-6329-4CFD-887B-6ADC578604C2}"/>
    <cellStyle name="Įprastas 5 2 3 2 2 2 5_8 priedas" xfId="914" xr:uid="{00000000-0005-0000-0000-00000B010000}"/>
    <cellStyle name="Įprastas 5 2 3 2 2 2 6" xfId="522" xr:uid="{00000000-0005-0000-0000-00000C010000}"/>
    <cellStyle name="Įprastas 5 2 3 2 2 2 6 2" xfId="1498" xr:uid="{10401FC5-AC4D-44E2-86DE-391961BE6A74}"/>
    <cellStyle name="Įprastas 5 2 3 2 2 2 6 2 2" xfId="6127" xr:uid="{4E8ED4D8-7525-489D-A517-12CD5ED20D41}"/>
    <cellStyle name="Įprastas 5 2 3 2 2 2 6 2 3" xfId="7855" xr:uid="{D33DD470-1E40-47F0-893A-2E7BF421972F}"/>
    <cellStyle name="Įprastas 5 2 3 2 2 2 6 2 4" xfId="4399" xr:uid="{9EC54A09-E5B6-451C-86E8-1980B469A507}"/>
    <cellStyle name="Įprastas 5 2 3 2 2 2 6 2_8 priedas" xfId="8670" xr:uid="{CC8B7238-001E-4565-8283-3FEDC38A5651}"/>
    <cellStyle name="Įprastas 5 2 3 2 2 2 6 3" xfId="2670" xr:uid="{F04A13B2-BA20-4FFF-8C12-E318808E5036}"/>
    <cellStyle name="Įprastas 5 2 3 2 2 2 6 3 2" xfId="5263" xr:uid="{85C28A0D-4552-484E-84EF-114F9FE5BF2F}"/>
    <cellStyle name="Įprastas 5 2 3 2 2 2 6 3_8 priedas" xfId="8671" xr:uid="{F511057C-1BD0-446B-BF94-C4AC107BC378}"/>
    <cellStyle name="Įprastas 5 2 3 2 2 2 6 4" xfId="6991" xr:uid="{09D28DC3-E513-4AB5-9E34-AB93C4003B08}"/>
    <cellStyle name="Įprastas 5 2 3 2 2 2 6 5" xfId="3535" xr:uid="{C31F7C7D-CE46-4D25-828B-EFD4C4B89824}"/>
    <cellStyle name="Įprastas 5 2 3 2 2 2 6_8 priedas" xfId="8669" xr:uid="{139FE3EF-76A3-4A68-81CC-6EF26466DAD2}"/>
    <cellStyle name="Įprastas 5 2 3 2 2 2 7" xfId="1499" xr:uid="{DEB47A00-A255-4A6F-837A-B781DE0F6A80}"/>
    <cellStyle name="Įprastas 5 2 3 2 2 2 7 2" xfId="5734" xr:uid="{62FE75CF-DED5-421F-B081-71485B7A3A17}"/>
    <cellStyle name="Įprastas 5 2 3 2 2 2 7 3" xfId="7462" xr:uid="{76B90110-06DF-40C8-9BE2-12942DA6E7D4}"/>
    <cellStyle name="Įprastas 5 2 3 2 2 2 7 4" xfId="4006" xr:uid="{78DCDFEA-9FFA-4E64-AA59-D46567644DD7}"/>
    <cellStyle name="Įprastas 5 2 3 2 2 2 7_8 priedas" xfId="8672" xr:uid="{E2E7E5B9-A090-4ECF-B2D1-188F83AEB15C}"/>
    <cellStyle name="Įprastas 5 2 3 2 2 2 8" xfId="2277" xr:uid="{CAF1B596-70EE-4FB6-B12B-63EBA01B88C5}"/>
    <cellStyle name="Įprastas 5 2 3 2 2 2 8 2" xfId="4870" xr:uid="{BAC55C95-4FE4-4205-9AD8-B4E04BB61217}"/>
    <cellStyle name="Įprastas 5 2 3 2 2 2 8_8 priedas" xfId="8673" xr:uid="{68F8B4E2-6A8A-4556-A4EB-5E7969773991}"/>
    <cellStyle name="Įprastas 5 2 3 2 2 2 9" xfId="6598" xr:uid="{9FAF650B-E939-4B1C-8405-5454D9CF6DC3}"/>
    <cellStyle name="Įprastas 5 2 3 2 2 2_8 priedas" xfId="1322" xr:uid="{00000000-0005-0000-0000-00000D010000}"/>
    <cellStyle name="Įprastas 5 2 3 2 2 3" xfId="119" xr:uid="{00000000-0005-0000-0000-00000E010000}"/>
    <cellStyle name="Įprastas 5 2 3 2 2 3 2" xfId="120" xr:uid="{00000000-0005-0000-0000-00000F010000}"/>
    <cellStyle name="Įprastas 5 2 3 2 2 3 2 2" xfId="690" xr:uid="{00000000-0005-0000-0000-000010010000}"/>
    <cellStyle name="Įprastas 5 2 3 2 2 3 2 2 2" xfId="1500" xr:uid="{784E0309-7F97-454F-AE90-D89BCA1760F0}"/>
    <cellStyle name="Įprastas 5 2 3 2 2 3 2 2 2 2" xfId="6295" xr:uid="{8DB8EA98-8346-42B2-8D8A-336B124684F9}"/>
    <cellStyle name="Įprastas 5 2 3 2 2 3 2 2 2 3" xfId="8023" xr:uid="{FE5FABAF-3B60-4C70-810D-BD498CA3888B}"/>
    <cellStyle name="Įprastas 5 2 3 2 2 3 2 2 2 4" xfId="4567" xr:uid="{358A5B03-D977-4AEB-8EBC-0C7044CE924A}"/>
    <cellStyle name="Įprastas 5 2 3 2 2 3 2 2 2_8 priedas" xfId="8675" xr:uid="{B306EA53-D435-4061-B0D8-A3F97176C5F5}"/>
    <cellStyle name="Įprastas 5 2 3 2 2 3 2 2 3" xfId="2838" xr:uid="{9FCB59BF-B3C2-48E3-90AA-7BCFCA597FB0}"/>
    <cellStyle name="Įprastas 5 2 3 2 2 3 2 2 3 2" xfId="5431" xr:uid="{B3037C27-2F7C-44D1-B491-197A266C2D4E}"/>
    <cellStyle name="Įprastas 5 2 3 2 2 3 2 2 3_8 priedas" xfId="8676" xr:uid="{A4F41E99-3C55-4AB6-BFAC-DF3A070FAEFC}"/>
    <cellStyle name="Įprastas 5 2 3 2 2 3 2 2 4" xfId="7159" xr:uid="{2C58E03F-DD31-4EC4-89E9-8FA7DBF2B04D}"/>
    <cellStyle name="Įprastas 5 2 3 2 2 3 2 2 5" xfId="3703" xr:uid="{D76516C7-9FF6-4B73-A08B-02527DFC739D}"/>
    <cellStyle name="Įprastas 5 2 3 2 2 3 2 2_8 priedas" xfId="8674" xr:uid="{2C54BDC0-73DB-4686-A8A0-72D094480DF2}"/>
    <cellStyle name="Įprastas 5 2 3 2 2 3 2 3" xfId="1501" xr:uid="{C5E0112F-4B89-4FEE-BADE-C2704A1DF10A}"/>
    <cellStyle name="Įprastas 5 2 3 2 2 3 2 3 2" xfId="5744" xr:uid="{09367B72-28D6-48C8-89DA-38F15DD53B4D}"/>
    <cellStyle name="Įprastas 5 2 3 2 2 3 2 3 3" xfId="7472" xr:uid="{6E2A11B0-B479-406A-99E7-C10ED0D278ED}"/>
    <cellStyle name="Įprastas 5 2 3 2 2 3 2 3 4" xfId="4016" xr:uid="{8869A005-B37A-42B7-B83A-3434B80263AF}"/>
    <cellStyle name="Įprastas 5 2 3 2 2 3 2 3_8 priedas" xfId="8677" xr:uid="{77BF5346-2F6C-4E9B-83A1-69289BF4D8E0}"/>
    <cellStyle name="Įprastas 5 2 3 2 2 3 2 4" xfId="2287" xr:uid="{9F13126E-B77A-4F1B-8BD4-CE439C9A7E69}"/>
    <cellStyle name="Įprastas 5 2 3 2 2 3 2 4 2" xfId="4880" xr:uid="{F48F78EB-26D7-4582-AFA4-55C9084BC57C}"/>
    <cellStyle name="Įprastas 5 2 3 2 2 3 2 4_8 priedas" xfId="8678" xr:uid="{AABEB060-25F2-40EB-8EB5-63A3F9CC1A32}"/>
    <cellStyle name="Įprastas 5 2 3 2 2 3 2 5" xfId="6608" xr:uid="{023343A4-DA3D-4D97-B241-50CE1D75D813}"/>
    <cellStyle name="Įprastas 5 2 3 2 2 3 2 6" xfId="3152" xr:uid="{C9B02151-03BA-49FC-A233-525C1FE762AA}"/>
    <cellStyle name="Įprastas 5 2 3 2 2 3 2_8 priedas" xfId="1193" xr:uid="{00000000-0005-0000-0000-000011010000}"/>
    <cellStyle name="Įprastas 5 2 3 2 2 3 3" xfId="121" xr:uid="{00000000-0005-0000-0000-000012010000}"/>
    <cellStyle name="Įprastas 5 2 3 2 2 3 3 2" xfId="834" xr:uid="{00000000-0005-0000-0000-000013010000}"/>
    <cellStyle name="Įprastas 5 2 3 2 2 3 3 2 2" xfId="1502" xr:uid="{AEFE735E-E47B-4CA9-BD73-ED8AF91D96BB}"/>
    <cellStyle name="Įprastas 5 2 3 2 2 3 3 2 2 2" xfId="6439" xr:uid="{422A806A-9235-41D0-9B02-31FDA7ABCFE3}"/>
    <cellStyle name="Įprastas 5 2 3 2 2 3 3 2 2 3" xfId="8167" xr:uid="{886FD55A-21C1-4D99-916A-F80C399D1B9F}"/>
    <cellStyle name="Įprastas 5 2 3 2 2 3 3 2 2 4" xfId="4711" xr:uid="{DE9C74EE-E547-4D26-96AC-6C507D177AC2}"/>
    <cellStyle name="Įprastas 5 2 3 2 2 3 3 2 2_8 priedas" xfId="8680" xr:uid="{D45D1C12-E7E2-4599-BCD1-33A8369541E3}"/>
    <cellStyle name="Įprastas 5 2 3 2 2 3 3 2 3" xfId="2982" xr:uid="{72F47ABE-386F-429E-B6A0-F9C1D35AE030}"/>
    <cellStyle name="Įprastas 5 2 3 2 2 3 3 2 3 2" xfId="5575" xr:uid="{EF9B7DBD-6751-4974-8217-458E8D7C1CE0}"/>
    <cellStyle name="Įprastas 5 2 3 2 2 3 3 2 3_8 priedas" xfId="8681" xr:uid="{7505CD63-A6CE-4397-ABBE-583EBD84C5EC}"/>
    <cellStyle name="Įprastas 5 2 3 2 2 3 3 2 4" xfId="7303" xr:uid="{101CE06F-2751-4DC0-B1E7-A242596405A8}"/>
    <cellStyle name="Įprastas 5 2 3 2 2 3 3 2 5" xfId="3847" xr:uid="{7ECDEDD3-9076-4469-BA6A-8E8E103615D9}"/>
    <cellStyle name="Įprastas 5 2 3 2 2 3 3 2_8 priedas" xfId="8679" xr:uid="{ADBE27A2-F02F-42A0-8F43-E17C5890982E}"/>
    <cellStyle name="Įprastas 5 2 3 2 2 3 3 3" xfId="1503" xr:uid="{29B3F05C-00BC-4582-93D0-874B2A08A66E}"/>
    <cellStyle name="Įprastas 5 2 3 2 2 3 3 3 2" xfId="5745" xr:uid="{95DCDC34-E14C-4CD9-8A38-9C09D52F4E83}"/>
    <cellStyle name="Įprastas 5 2 3 2 2 3 3 3 3" xfId="7473" xr:uid="{6FC9D7D2-9A28-46E7-9E8E-E7B243AC5A3A}"/>
    <cellStyle name="Įprastas 5 2 3 2 2 3 3 3 4" xfId="4017" xr:uid="{B42A14C3-1694-4326-B248-EE70F2D03E7B}"/>
    <cellStyle name="Įprastas 5 2 3 2 2 3 3 3_8 priedas" xfId="8682" xr:uid="{EFC76C44-0B2A-400E-B595-C317B664D19A}"/>
    <cellStyle name="Įprastas 5 2 3 2 2 3 3 4" xfId="2288" xr:uid="{1118B7BB-F5B9-4C7A-99E6-111317AB9B25}"/>
    <cellStyle name="Įprastas 5 2 3 2 2 3 3 4 2" xfId="4881" xr:uid="{F79CC837-0A99-4EFA-B744-A40A912DEB26}"/>
    <cellStyle name="Įprastas 5 2 3 2 2 3 3 4_8 priedas" xfId="8683" xr:uid="{0297EC24-9E7A-4989-B319-5BB63513B687}"/>
    <cellStyle name="Įprastas 5 2 3 2 2 3 3 5" xfId="6609" xr:uid="{6C3D96DC-9AD8-4ACE-A550-081E4B3784E8}"/>
    <cellStyle name="Įprastas 5 2 3 2 2 3 3 6" xfId="3153" xr:uid="{32EF52B4-3F8F-4F80-86B4-C46F122794EE}"/>
    <cellStyle name="Įprastas 5 2 3 2 2 3 3_8 priedas" xfId="1058" xr:uid="{00000000-0005-0000-0000-000014010000}"/>
    <cellStyle name="Įprastas 5 2 3 2 2 3 4" xfId="546" xr:uid="{00000000-0005-0000-0000-000015010000}"/>
    <cellStyle name="Įprastas 5 2 3 2 2 3 4 2" xfId="1504" xr:uid="{AE8290B9-180F-486C-AD7C-41F0CCCB1420}"/>
    <cellStyle name="Įprastas 5 2 3 2 2 3 4 2 2" xfId="6151" xr:uid="{96BD0FC1-EFDD-46AC-82B6-09C1B5765FB0}"/>
    <cellStyle name="Įprastas 5 2 3 2 2 3 4 2 3" xfId="7879" xr:uid="{BE344E88-7BB9-487A-BE0A-9B27B7F4AB72}"/>
    <cellStyle name="Įprastas 5 2 3 2 2 3 4 2 4" xfId="4423" xr:uid="{814F7BA1-B94D-4D48-BA7E-8FD94E84715F}"/>
    <cellStyle name="Įprastas 5 2 3 2 2 3 4 2_8 priedas" xfId="8685" xr:uid="{FB6CD1D7-2C5B-4EC3-BDBA-4BE1457B20B3}"/>
    <cellStyle name="Įprastas 5 2 3 2 2 3 4 3" xfId="2694" xr:uid="{2EF55C76-8AE2-49DE-A96B-DB9E7C46A980}"/>
    <cellStyle name="Įprastas 5 2 3 2 2 3 4 3 2" xfId="5287" xr:uid="{4D738E4D-8CFC-408B-A6E1-231537699A3C}"/>
    <cellStyle name="Įprastas 5 2 3 2 2 3 4 3_8 priedas" xfId="8686" xr:uid="{3D6C79BB-B655-411C-810E-EACF1368418E}"/>
    <cellStyle name="Įprastas 5 2 3 2 2 3 4 4" xfId="7015" xr:uid="{D1E2FBB9-37C6-422C-81F0-5EAAFEC98EEA}"/>
    <cellStyle name="Įprastas 5 2 3 2 2 3 4 5" xfId="3559" xr:uid="{92AFD607-A664-4AA3-B9D5-E3B640C706A4}"/>
    <cellStyle name="Įprastas 5 2 3 2 2 3 4_8 priedas" xfId="8684" xr:uid="{EC71D97D-C8A8-457F-82FC-C892CB5430C1}"/>
    <cellStyle name="Įprastas 5 2 3 2 2 3 5" xfId="1505" xr:uid="{20A9ED75-180B-42DD-B1B3-C680C1DFD404}"/>
    <cellStyle name="Įprastas 5 2 3 2 2 3 5 2" xfId="5743" xr:uid="{C325291C-5330-4721-8E92-12F19B1C44A4}"/>
    <cellStyle name="Įprastas 5 2 3 2 2 3 5 3" xfId="7471" xr:uid="{235D8552-15AC-4D2F-B1F2-00C921F133AC}"/>
    <cellStyle name="Įprastas 5 2 3 2 2 3 5 4" xfId="4015" xr:uid="{A51A94C3-5EAD-4CFF-8753-5BEF7EAC3DF5}"/>
    <cellStyle name="Įprastas 5 2 3 2 2 3 5_8 priedas" xfId="8687" xr:uid="{322F70C2-692F-4EE3-8AFA-108AABF448E9}"/>
    <cellStyle name="Įprastas 5 2 3 2 2 3 6" xfId="2286" xr:uid="{1A4BB52B-8933-4666-8EBE-B397F3FCAF53}"/>
    <cellStyle name="Įprastas 5 2 3 2 2 3 6 2" xfId="4879" xr:uid="{CC184595-0C0E-4219-9287-0853CA2F829A}"/>
    <cellStyle name="Įprastas 5 2 3 2 2 3 6_8 priedas" xfId="8688" xr:uid="{15ED077B-D21E-4A5F-A30E-803DE1AB8EBB}"/>
    <cellStyle name="Įprastas 5 2 3 2 2 3 7" xfId="6607" xr:uid="{6200E3E4-1FE3-48CA-96EC-7D2F377D036F}"/>
    <cellStyle name="Įprastas 5 2 3 2 2 3 8" xfId="3151" xr:uid="{F9F594A8-51EE-4B7A-AF78-33ADCE3F54A2}"/>
    <cellStyle name="Įprastas 5 2 3 2 2 3_8 priedas" xfId="922" xr:uid="{00000000-0005-0000-0000-000016010000}"/>
    <cellStyle name="Įprastas 5 2 3 2 2 4" xfId="122" xr:uid="{00000000-0005-0000-0000-000017010000}"/>
    <cellStyle name="Įprastas 5 2 3 2 2 4 2" xfId="123" xr:uid="{00000000-0005-0000-0000-000018010000}"/>
    <cellStyle name="Įprastas 5 2 3 2 2 4 2 2" xfId="738" xr:uid="{00000000-0005-0000-0000-000019010000}"/>
    <cellStyle name="Įprastas 5 2 3 2 2 4 2 2 2" xfId="1506" xr:uid="{DBAA0D86-77B2-41F4-A4F4-1E5947B47FAA}"/>
    <cellStyle name="Įprastas 5 2 3 2 2 4 2 2 2 2" xfId="6343" xr:uid="{7A559E3A-0D38-4E0E-A3D0-864B58EC73F5}"/>
    <cellStyle name="Įprastas 5 2 3 2 2 4 2 2 2 3" xfId="8071" xr:uid="{21742360-1C86-45E9-8584-947834267E97}"/>
    <cellStyle name="Įprastas 5 2 3 2 2 4 2 2 2 4" xfId="4615" xr:uid="{4EDECD83-106C-4E29-8341-B7016772C025}"/>
    <cellStyle name="Įprastas 5 2 3 2 2 4 2 2 2_8 priedas" xfId="8690" xr:uid="{7C498FCF-4141-4D21-B517-B8BAE6349D8E}"/>
    <cellStyle name="Įprastas 5 2 3 2 2 4 2 2 3" xfId="2886" xr:uid="{16A290CB-B2FD-4B7E-B055-6D5D8C5BDD83}"/>
    <cellStyle name="Įprastas 5 2 3 2 2 4 2 2 3 2" xfId="5479" xr:uid="{4FF6084E-DFA2-4E7D-ADE1-CB2A426946C7}"/>
    <cellStyle name="Įprastas 5 2 3 2 2 4 2 2 3_8 priedas" xfId="8691" xr:uid="{967AA738-5F5B-4298-89A4-4438AD836F2D}"/>
    <cellStyle name="Įprastas 5 2 3 2 2 4 2 2 4" xfId="7207" xr:uid="{55DC881D-0805-4A61-BAD7-2DDB7283C472}"/>
    <cellStyle name="Įprastas 5 2 3 2 2 4 2 2 5" xfId="3751" xr:uid="{8848ABEB-9CBF-4555-8DC9-09F6923FC40B}"/>
    <cellStyle name="Įprastas 5 2 3 2 2 4 2 2_8 priedas" xfId="8689" xr:uid="{D4655EBE-3924-4B75-AE5C-3B4D32A66816}"/>
    <cellStyle name="Įprastas 5 2 3 2 2 4 2 3" xfId="1507" xr:uid="{ABEEAC64-CB30-4B09-9EBD-60DDE9833F13}"/>
    <cellStyle name="Įprastas 5 2 3 2 2 4 2 3 2" xfId="5747" xr:uid="{EC0EA699-9229-45C8-B221-EF52E292EBCF}"/>
    <cellStyle name="Įprastas 5 2 3 2 2 4 2 3 3" xfId="7475" xr:uid="{0FBF5505-4680-47EE-B2DC-7472DF31278B}"/>
    <cellStyle name="Įprastas 5 2 3 2 2 4 2 3 4" xfId="4019" xr:uid="{F6372853-AB32-4521-B260-9525799C4975}"/>
    <cellStyle name="Įprastas 5 2 3 2 2 4 2 3_8 priedas" xfId="8692" xr:uid="{8A2842AA-9E3E-499B-9038-802F965B05DB}"/>
    <cellStyle name="Įprastas 5 2 3 2 2 4 2 4" xfId="2290" xr:uid="{7E2407BD-5557-434A-994E-92E52D19AEEC}"/>
    <cellStyle name="Įprastas 5 2 3 2 2 4 2 4 2" xfId="4883" xr:uid="{6A2B1AB6-2595-4DAA-8E45-458C7528E8B0}"/>
    <cellStyle name="Įprastas 5 2 3 2 2 4 2 4_8 priedas" xfId="8693" xr:uid="{30700E2A-E830-4AC5-B862-9574D90521E7}"/>
    <cellStyle name="Įprastas 5 2 3 2 2 4 2 5" xfId="6611" xr:uid="{62D35698-79B3-4DEC-9EFC-C0943EB8B430}"/>
    <cellStyle name="Įprastas 5 2 3 2 2 4 2 6" xfId="3155" xr:uid="{47C39D32-C862-4478-91CF-A7F1BA0C4F81}"/>
    <cellStyle name="Įprastas 5 2 3 2 2 4 2_8 priedas" xfId="1147" xr:uid="{00000000-0005-0000-0000-00001A010000}"/>
    <cellStyle name="Įprastas 5 2 3 2 2 4 3" xfId="124" xr:uid="{00000000-0005-0000-0000-00001B010000}"/>
    <cellStyle name="Įprastas 5 2 3 2 2 4 3 2" xfId="882" xr:uid="{00000000-0005-0000-0000-00001C010000}"/>
    <cellStyle name="Įprastas 5 2 3 2 2 4 3 2 2" xfId="1508" xr:uid="{AE3172D0-9D3D-450E-ABD0-16D7BF1935D5}"/>
    <cellStyle name="Įprastas 5 2 3 2 2 4 3 2 2 2" xfId="6487" xr:uid="{8CE95A6A-1EB5-4175-9ACA-D5D4505AE423}"/>
    <cellStyle name="Įprastas 5 2 3 2 2 4 3 2 2 3" xfId="8215" xr:uid="{33303E97-FBB1-43EA-A0E5-7B25707B71EC}"/>
    <cellStyle name="Įprastas 5 2 3 2 2 4 3 2 2 4" xfId="4759" xr:uid="{663D33B9-A057-4B3F-ABD5-4E8AB764DAD0}"/>
    <cellStyle name="Įprastas 5 2 3 2 2 4 3 2 2_8 priedas" xfId="8695" xr:uid="{DBF19E88-27D6-45F8-A6F7-DDA6D011DBC6}"/>
    <cellStyle name="Įprastas 5 2 3 2 2 4 3 2 3" xfId="3030" xr:uid="{391B2D18-0FAA-49E7-B102-B520BE28302B}"/>
    <cellStyle name="Įprastas 5 2 3 2 2 4 3 2 3 2" xfId="5623" xr:uid="{F728A732-8B42-43CC-A4D4-1CA7A89FB250}"/>
    <cellStyle name="Įprastas 5 2 3 2 2 4 3 2 3_8 priedas" xfId="8696" xr:uid="{DFC8E3F3-3D39-48ED-A367-71CECC0C302F}"/>
    <cellStyle name="Įprastas 5 2 3 2 2 4 3 2 4" xfId="7351" xr:uid="{F47926B2-3E3E-417E-B8E7-151469340FBB}"/>
    <cellStyle name="Įprastas 5 2 3 2 2 4 3 2 5" xfId="3895" xr:uid="{D5B1BE69-ADDA-4597-A337-7AA5CB14DF13}"/>
    <cellStyle name="Įprastas 5 2 3 2 2 4 3 2_8 priedas" xfId="8694" xr:uid="{43E6171E-C1AE-4F5D-B23C-5AA4416CD5F8}"/>
    <cellStyle name="Įprastas 5 2 3 2 2 4 3 3" xfId="1509" xr:uid="{D1729C9D-D029-467C-A900-45F92B27BDA6}"/>
    <cellStyle name="Įprastas 5 2 3 2 2 4 3 3 2" xfId="5748" xr:uid="{E6D930DB-F208-4529-828C-CC39C2C1B783}"/>
    <cellStyle name="Įprastas 5 2 3 2 2 4 3 3 3" xfId="7476" xr:uid="{2267A4EA-8DEC-4B9D-ABD0-47629F6E19E8}"/>
    <cellStyle name="Įprastas 5 2 3 2 2 4 3 3 4" xfId="4020" xr:uid="{CDB7B592-AD68-4F0C-A5B0-1F2250178199}"/>
    <cellStyle name="Įprastas 5 2 3 2 2 4 3 3_8 priedas" xfId="8697" xr:uid="{203EA1C5-0CFC-40E2-8BC4-D0F9079517CA}"/>
    <cellStyle name="Įprastas 5 2 3 2 2 4 3 4" xfId="2291" xr:uid="{D02F8112-7047-444F-B21C-4C67A6A95A94}"/>
    <cellStyle name="Įprastas 5 2 3 2 2 4 3 4 2" xfId="4884" xr:uid="{D1B5796C-D93D-4E78-84B4-DB4F96C1E627}"/>
    <cellStyle name="Įprastas 5 2 3 2 2 4 3 4_8 priedas" xfId="8698" xr:uid="{C200B32D-13D5-425B-8075-A99D96CF2C56}"/>
    <cellStyle name="Įprastas 5 2 3 2 2 4 3 5" xfId="6612" xr:uid="{B89E6A48-C2BF-4E8B-BF8A-154855AF7AC9}"/>
    <cellStyle name="Įprastas 5 2 3 2 2 4 3 6" xfId="3156" xr:uid="{09A14CC6-A890-4CC2-814D-102F0A572CC4}"/>
    <cellStyle name="Įprastas 5 2 3 2 2 4 3_8 priedas" xfId="1011" xr:uid="{00000000-0005-0000-0000-00001D010000}"/>
    <cellStyle name="Įprastas 5 2 3 2 2 4 4" xfId="594" xr:uid="{00000000-0005-0000-0000-00001E010000}"/>
    <cellStyle name="Įprastas 5 2 3 2 2 4 4 2" xfId="1510" xr:uid="{84E129FB-ECDE-4795-8342-3521DD0422DE}"/>
    <cellStyle name="Įprastas 5 2 3 2 2 4 4 2 2" xfId="6199" xr:uid="{CCEF9217-1372-4D3D-A1BB-7F8C9BC2D106}"/>
    <cellStyle name="Įprastas 5 2 3 2 2 4 4 2 3" xfId="7927" xr:uid="{1A6A5486-22BD-4026-83F8-5145255CA7D3}"/>
    <cellStyle name="Įprastas 5 2 3 2 2 4 4 2 4" xfId="4471" xr:uid="{5863EF12-5C01-40D1-9E8D-D3D5A06D42AA}"/>
    <cellStyle name="Įprastas 5 2 3 2 2 4 4 2_8 priedas" xfId="8700" xr:uid="{29D15ABD-9BF7-42A5-8012-18EF05E69BAE}"/>
    <cellStyle name="Įprastas 5 2 3 2 2 4 4 3" xfId="2742" xr:uid="{0F457E3C-2C5B-4C3F-95BF-E40EE65E649D}"/>
    <cellStyle name="Įprastas 5 2 3 2 2 4 4 3 2" xfId="5335" xr:uid="{9FEAD5B7-23AB-4793-8008-122BB9B817F6}"/>
    <cellStyle name="Įprastas 5 2 3 2 2 4 4 3_8 priedas" xfId="8701" xr:uid="{044D2982-6533-4C12-BF2A-3BD083932960}"/>
    <cellStyle name="Įprastas 5 2 3 2 2 4 4 4" xfId="7063" xr:uid="{39FA01EF-6446-437B-AD6A-5A13C6306911}"/>
    <cellStyle name="Įprastas 5 2 3 2 2 4 4 5" xfId="3607" xr:uid="{4629BC26-91C0-46FF-9554-436E89351E41}"/>
    <cellStyle name="Įprastas 5 2 3 2 2 4 4_8 priedas" xfId="8699" xr:uid="{572696CC-A39C-4C5B-BD40-DBCAC6365C4A}"/>
    <cellStyle name="Įprastas 5 2 3 2 2 4 5" xfId="1511" xr:uid="{620DE9CC-5C67-469F-A8C7-7FF9274F2AF7}"/>
    <cellStyle name="Įprastas 5 2 3 2 2 4 5 2" xfId="5746" xr:uid="{741ABB54-FCF7-4BE3-BB48-C9EF8717B043}"/>
    <cellStyle name="Įprastas 5 2 3 2 2 4 5 3" xfId="7474" xr:uid="{661E0B23-E243-4C93-AFC8-7A77073B309C}"/>
    <cellStyle name="Įprastas 5 2 3 2 2 4 5 4" xfId="4018" xr:uid="{FF08F1EE-A93B-4E14-A491-BCFF63D7C25B}"/>
    <cellStyle name="Įprastas 5 2 3 2 2 4 5_8 priedas" xfId="8702" xr:uid="{3CBD158F-C26A-466F-A6DD-44F547A5150B}"/>
    <cellStyle name="Įprastas 5 2 3 2 2 4 6" xfId="2289" xr:uid="{07AA8D92-E49C-4C80-ADAF-BBCAD8EFB683}"/>
    <cellStyle name="Įprastas 5 2 3 2 2 4 6 2" xfId="4882" xr:uid="{AB0B3B10-6764-47D3-BCBA-E72F65030A1F}"/>
    <cellStyle name="Įprastas 5 2 3 2 2 4 6_8 priedas" xfId="8703" xr:uid="{9EDA44AD-71AC-418B-9DD5-CCF451D139E9}"/>
    <cellStyle name="Įprastas 5 2 3 2 2 4 7" xfId="6610" xr:uid="{2A5B2AE8-EA9B-4DE6-A4E2-3A22A63A8E31}"/>
    <cellStyle name="Įprastas 5 2 3 2 2 4 8" xfId="3154" xr:uid="{8403FCF3-345F-4AD4-8496-C463CF3C7813}"/>
    <cellStyle name="Įprastas 5 2 3 2 2 4_8 priedas" xfId="1283" xr:uid="{00000000-0005-0000-0000-00001F010000}"/>
    <cellStyle name="Įprastas 5 2 3 2 2 5" xfId="125" xr:uid="{00000000-0005-0000-0000-000020010000}"/>
    <cellStyle name="Įprastas 5 2 3 2 2 5 2" xfId="642" xr:uid="{00000000-0005-0000-0000-000021010000}"/>
    <cellStyle name="Įprastas 5 2 3 2 2 5 2 2" xfId="1512" xr:uid="{7D627570-234A-4476-903F-970D57FB7CA1}"/>
    <cellStyle name="Įprastas 5 2 3 2 2 5 2 2 2" xfId="6247" xr:uid="{D9A506F6-4B49-4E25-B080-8FCE450E9145}"/>
    <cellStyle name="Įprastas 5 2 3 2 2 5 2 2 3" xfId="7975" xr:uid="{ED3F3C0A-1704-4915-B9E5-ED469B528E50}"/>
    <cellStyle name="Įprastas 5 2 3 2 2 5 2 2 4" xfId="4519" xr:uid="{5091F571-49BC-4A63-861E-A0B575D3508E}"/>
    <cellStyle name="Įprastas 5 2 3 2 2 5 2 2_8 priedas" xfId="8705" xr:uid="{D52C3939-4BB2-4FCC-8ECD-44C089B7E57C}"/>
    <cellStyle name="Įprastas 5 2 3 2 2 5 2 3" xfId="2790" xr:uid="{6BEE46D0-7EA8-46E7-A76A-1C93C8F7D328}"/>
    <cellStyle name="Įprastas 5 2 3 2 2 5 2 3 2" xfId="5383" xr:uid="{2615BFC3-AAC1-40B4-888D-BD70D1540DDD}"/>
    <cellStyle name="Įprastas 5 2 3 2 2 5 2 3_8 priedas" xfId="8706" xr:uid="{D8156809-3807-4685-AF82-6E3662083B1E}"/>
    <cellStyle name="Įprastas 5 2 3 2 2 5 2 4" xfId="7111" xr:uid="{A73C25D0-07C3-499A-ADD0-88938702A1BD}"/>
    <cellStyle name="Įprastas 5 2 3 2 2 5 2 5" xfId="3655" xr:uid="{9BD8AADF-7012-46CE-90C5-830C409FD12F}"/>
    <cellStyle name="Įprastas 5 2 3 2 2 5 2_8 priedas" xfId="8704" xr:uid="{E87D81FE-5C8E-45E6-97FA-8BA7D47664D1}"/>
    <cellStyle name="Įprastas 5 2 3 2 2 5 3" xfId="1513" xr:uid="{BE8C7687-FBCC-4DA4-BE65-77EDD2DF8D48}"/>
    <cellStyle name="Įprastas 5 2 3 2 2 5 3 2" xfId="5749" xr:uid="{A69A2CC2-E3E7-4E52-82D7-C0F54EAA834A}"/>
    <cellStyle name="Įprastas 5 2 3 2 2 5 3 3" xfId="7477" xr:uid="{0061C4E8-1A4C-44BC-9BC6-944C5BCBD2F8}"/>
    <cellStyle name="Įprastas 5 2 3 2 2 5 3 4" xfId="4021" xr:uid="{CC6F2CFC-0708-4284-BBCA-877E5EF2838A}"/>
    <cellStyle name="Įprastas 5 2 3 2 2 5 3_8 priedas" xfId="8707" xr:uid="{89A2C2ED-C20A-4BD5-A6F7-722607B5A9C2}"/>
    <cellStyle name="Įprastas 5 2 3 2 2 5 4" xfId="2292" xr:uid="{92D0E1E2-1243-44E2-A8BD-5055038C93EF}"/>
    <cellStyle name="Įprastas 5 2 3 2 2 5 4 2" xfId="4885" xr:uid="{A66BA794-AB20-4152-868F-E6DDC804D8B5}"/>
    <cellStyle name="Įprastas 5 2 3 2 2 5 4_8 priedas" xfId="8708" xr:uid="{E16F7453-B3A5-4E01-B0A5-F53689762663}"/>
    <cellStyle name="Įprastas 5 2 3 2 2 5 5" xfId="6613" xr:uid="{0F099A4E-E62C-4497-8FBC-E4C831BE023F}"/>
    <cellStyle name="Įprastas 5 2 3 2 2 5 6" xfId="3157" xr:uid="{A614B6CA-D12E-462A-AAFC-14B21DB395CF}"/>
    <cellStyle name="Įprastas 5 2 3 2 2 5_8 priedas" xfId="1237" xr:uid="{00000000-0005-0000-0000-000022010000}"/>
    <cellStyle name="Įprastas 5 2 3 2 2 6" xfId="126" xr:uid="{00000000-0005-0000-0000-000023010000}"/>
    <cellStyle name="Įprastas 5 2 3 2 2 6 2" xfId="786" xr:uid="{00000000-0005-0000-0000-000024010000}"/>
    <cellStyle name="Įprastas 5 2 3 2 2 6 2 2" xfId="1514" xr:uid="{02CB1FDC-2D71-43FB-9161-EAF2E9D007DB}"/>
    <cellStyle name="Įprastas 5 2 3 2 2 6 2 2 2" xfId="6391" xr:uid="{21DE1A4C-5EC4-4632-8F06-74859CE84C83}"/>
    <cellStyle name="Įprastas 5 2 3 2 2 6 2 2 3" xfId="8119" xr:uid="{6E23E9F8-7C81-4FDE-90BC-31E88CE4B571}"/>
    <cellStyle name="Įprastas 5 2 3 2 2 6 2 2 4" xfId="4663" xr:uid="{21EB250B-DECE-4849-A6CD-195848BE91DC}"/>
    <cellStyle name="Įprastas 5 2 3 2 2 6 2 2_8 priedas" xfId="8710" xr:uid="{1E465576-09D4-4427-BF6F-D2E3B2C69909}"/>
    <cellStyle name="Įprastas 5 2 3 2 2 6 2 3" xfId="2934" xr:uid="{CA7527DC-025A-4811-8D66-2C6796EEDAFF}"/>
    <cellStyle name="Įprastas 5 2 3 2 2 6 2 3 2" xfId="5527" xr:uid="{81F5938B-0293-49F2-BF15-495F2448CA9E}"/>
    <cellStyle name="Įprastas 5 2 3 2 2 6 2 3_8 priedas" xfId="8711" xr:uid="{17F62414-9CDA-4FE4-8B6A-E4A3145138D6}"/>
    <cellStyle name="Įprastas 5 2 3 2 2 6 2 4" xfId="7255" xr:uid="{A146DEF9-70F3-4397-8F4D-344527129B4F}"/>
    <cellStyle name="Įprastas 5 2 3 2 2 6 2 5" xfId="3799" xr:uid="{2020FCE1-F607-4F48-BF39-F023437C9FA9}"/>
    <cellStyle name="Įprastas 5 2 3 2 2 6 2_8 priedas" xfId="8709" xr:uid="{4E5C1328-4E78-4693-B246-1CDD22B57820}"/>
    <cellStyle name="Įprastas 5 2 3 2 2 6 3" xfId="1515" xr:uid="{A69C6E72-0011-4B23-9C43-AEF97A0E7593}"/>
    <cellStyle name="Įprastas 5 2 3 2 2 6 3 2" xfId="5750" xr:uid="{3FB6B397-C6E0-41AD-8A56-CEB17D14FB17}"/>
    <cellStyle name="Įprastas 5 2 3 2 2 6 3 3" xfId="7478" xr:uid="{66A80F1C-91C1-4EC2-8296-8F133726BBF5}"/>
    <cellStyle name="Įprastas 5 2 3 2 2 6 3 4" xfId="4022" xr:uid="{22B758C1-897A-4DC7-B6F0-E09389B6AE20}"/>
    <cellStyle name="Įprastas 5 2 3 2 2 6 3_8 priedas" xfId="8712" xr:uid="{0EB20EFD-C5C8-4334-8F95-B10B247A69BE}"/>
    <cellStyle name="Įprastas 5 2 3 2 2 6 4" xfId="2293" xr:uid="{9CEE2AF6-1280-4105-A35A-F0ECD6E14097}"/>
    <cellStyle name="Įprastas 5 2 3 2 2 6 4 2" xfId="4886" xr:uid="{DCD67171-7CEF-48ED-A49E-964F9C775BD4}"/>
    <cellStyle name="Įprastas 5 2 3 2 2 6 4_8 priedas" xfId="8713" xr:uid="{D5EE3E96-7878-4FF3-8A5A-4DFA9622A781}"/>
    <cellStyle name="Įprastas 5 2 3 2 2 6 5" xfId="6614" xr:uid="{B1525A8B-1697-44E3-AF4E-08844F33C7A8}"/>
    <cellStyle name="Įprastas 5 2 3 2 2 6 6" xfId="3158" xr:uid="{1E2BD96F-276F-48F9-9108-DD3AF31C5B23}"/>
    <cellStyle name="Įprastas 5 2 3 2 2 6_8 priedas" xfId="1107" xr:uid="{00000000-0005-0000-0000-000025010000}"/>
    <cellStyle name="Įprastas 5 2 3 2 2 7" xfId="498" xr:uid="{00000000-0005-0000-0000-000026010000}"/>
    <cellStyle name="Įprastas 5 2 3 2 2 7 2" xfId="1516" xr:uid="{ECE48E9E-A975-4342-BB22-DAA2805B3F09}"/>
    <cellStyle name="Įprastas 5 2 3 2 2 7 2 2" xfId="6103" xr:uid="{5E2CBB3F-5F38-47E0-9222-EADBA4122E95}"/>
    <cellStyle name="Įprastas 5 2 3 2 2 7 2 3" xfId="7831" xr:uid="{1F3C9DEA-D68D-4DCA-B04A-8DE7884A3070}"/>
    <cellStyle name="Įprastas 5 2 3 2 2 7 2 4" xfId="4375" xr:uid="{079C4BDF-0FEB-4115-933F-43F490140291}"/>
    <cellStyle name="Įprastas 5 2 3 2 2 7 2_8 priedas" xfId="8715" xr:uid="{86E5AA6D-87FC-4B54-AE1A-363575ED133A}"/>
    <cellStyle name="Įprastas 5 2 3 2 2 7 3" xfId="2646" xr:uid="{4A56114E-93B1-46C6-AA10-C6C2167A4E25}"/>
    <cellStyle name="Įprastas 5 2 3 2 2 7 3 2" xfId="5239" xr:uid="{1A7DF3E5-B21B-41F7-AE44-90406A7440C0}"/>
    <cellStyle name="Įprastas 5 2 3 2 2 7 3_8 priedas" xfId="8716" xr:uid="{3A268E3B-41C1-4B2D-A1F7-6D579E03BCD6}"/>
    <cellStyle name="Įprastas 5 2 3 2 2 7 4" xfId="6967" xr:uid="{1279ED46-2639-4CD3-B55B-698AC1FCD016}"/>
    <cellStyle name="Įprastas 5 2 3 2 2 7 5" xfId="3511" xr:uid="{47DD9586-F712-4887-B0D4-0111781AE56C}"/>
    <cellStyle name="Įprastas 5 2 3 2 2 7_8 priedas" xfId="8714" xr:uid="{B67F6F2A-0B36-4F8B-A701-92ABD2632828}"/>
    <cellStyle name="Įprastas 5 2 3 2 2 8" xfId="1517" xr:uid="{350DBAC9-5ABB-4441-9AF1-BE0BA92065C9}"/>
    <cellStyle name="Įprastas 5 2 3 2 2 8 2" xfId="5733" xr:uid="{C96877D7-4629-4B04-93F3-6837854C0053}"/>
    <cellStyle name="Įprastas 5 2 3 2 2 8 3" xfId="7461" xr:uid="{D43544B0-51A2-4F14-B43D-B98A85B36D42}"/>
    <cellStyle name="Įprastas 5 2 3 2 2 8 4" xfId="4005" xr:uid="{39A07F0C-2540-4362-8022-A8A53470C65E}"/>
    <cellStyle name="Įprastas 5 2 3 2 2 8_8 priedas" xfId="8717" xr:uid="{C75071B3-901A-4982-9DBB-4981725A3B1C}"/>
    <cellStyle name="Įprastas 5 2 3 2 2 9" xfId="2276" xr:uid="{4E808283-AD39-4AB3-9B74-E88EFF6406F8}"/>
    <cellStyle name="Įprastas 5 2 3 2 2 9 2" xfId="4869" xr:uid="{0A5BBDE2-C4CF-44E5-BDD8-80E373CAFA53}"/>
    <cellStyle name="Įprastas 5 2 3 2 2 9_8 priedas" xfId="8718" xr:uid="{662F90B2-0CD5-454D-A565-B20E97E05CB0}"/>
    <cellStyle name="Įprastas 5 2 3 2 2_8 priedas" xfId="1097" xr:uid="{00000000-0005-0000-0000-000027010000}"/>
    <cellStyle name="Įprastas 5 2 3 2 3" xfId="127" xr:uid="{00000000-0005-0000-0000-000028010000}"/>
    <cellStyle name="Įprastas 5 2 3 2 3 10" xfId="3159" xr:uid="{81AF2FD8-EA00-46D6-A212-0056EE8028BA}"/>
    <cellStyle name="Įprastas 5 2 3 2 3 2" xfId="128" xr:uid="{00000000-0005-0000-0000-000029010000}"/>
    <cellStyle name="Įprastas 5 2 3 2 3 2 2" xfId="129" xr:uid="{00000000-0005-0000-0000-00002A010000}"/>
    <cellStyle name="Įprastas 5 2 3 2 3 2 2 2" xfId="702" xr:uid="{00000000-0005-0000-0000-00002B010000}"/>
    <cellStyle name="Įprastas 5 2 3 2 3 2 2 2 2" xfId="1518" xr:uid="{54B011ED-460E-474C-809A-9F6F4248D5D1}"/>
    <cellStyle name="Įprastas 5 2 3 2 3 2 2 2 2 2" xfId="6307" xr:uid="{CA351781-ABA8-4E4C-85D6-84FD94BA56EB}"/>
    <cellStyle name="Įprastas 5 2 3 2 3 2 2 2 2 3" xfId="8035" xr:uid="{8C2B8D1B-20D6-4D91-B683-D5D718A29D74}"/>
    <cellStyle name="Įprastas 5 2 3 2 3 2 2 2 2 4" xfId="4579" xr:uid="{FE5C6023-D909-43FE-A6B6-424E20624DEB}"/>
    <cellStyle name="Įprastas 5 2 3 2 3 2 2 2 2_8 priedas" xfId="8720" xr:uid="{9CDD384D-61E9-4E4B-8FE2-30F31D6FF7A5}"/>
    <cellStyle name="Įprastas 5 2 3 2 3 2 2 2 3" xfId="2850" xr:uid="{F38BEC82-8FAB-46C7-B05B-37EAAEC4FF8A}"/>
    <cellStyle name="Įprastas 5 2 3 2 3 2 2 2 3 2" xfId="5443" xr:uid="{CDDEAC16-3E2A-406E-9A52-AE12895208C2}"/>
    <cellStyle name="Įprastas 5 2 3 2 3 2 2 2 3_8 priedas" xfId="8721" xr:uid="{195CAA53-0F6F-46A8-83A3-270EE33C3990}"/>
    <cellStyle name="Įprastas 5 2 3 2 3 2 2 2 4" xfId="7171" xr:uid="{02D15697-90B8-4850-A204-C4BA4AF19174}"/>
    <cellStyle name="Įprastas 5 2 3 2 3 2 2 2 5" xfId="3715" xr:uid="{D728E122-48DF-451E-95DD-AF70CC0D0654}"/>
    <cellStyle name="Įprastas 5 2 3 2 3 2 2 2_8 priedas" xfId="8719" xr:uid="{B822B80B-9F79-4A8F-8A55-E352E42C2372}"/>
    <cellStyle name="Įprastas 5 2 3 2 3 2 2 3" xfId="1519" xr:uid="{4FE23272-7683-445F-864E-B09DC64BA8AC}"/>
    <cellStyle name="Įprastas 5 2 3 2 3 2 2 3 2" xfId="5753" xr:uid="{324A501F-1A69-493D-BF3E-97368A62E9D8}"/>
    <cellStyle name="Įprastas 5 2 3 2 3 2 2 3 3" xfId="7481" xr:uid="{153B302E-7B90-4FF6-A345-F5A48F91E129}"/>
    <cellStyle name="Įprastas 5 2 3 2 3 2 2 3 4" xfId="4025" xr:uid="{F64C9AAA-2E73-4D5C-8F37-CA6A1BF25E07}"/>
    <cellStyle name="Įprastas 5 2 3 2 3 2 2 3_8 priedas" xfId="8722" xr:uid="{9A721BCB-4E1F-41B2-A0F2-E1C9CDB93685}"/>
    <cellStyle name="Įprastas 5 2 3 2 3 2 2 4" xfId="2296" xr:uid="{5108D32F-4D44-4C6F-9F96-D125ED108774}"/>
    <cellStyle name="Įprastas 5 2 3 2 3 2 2 4 2" xfId="4889" xr:uid="{A75BFD1B-430F-419C-BF96-E7A632B73EB1}"/>
    <cellStyle name="Įprastas 5 2 3 2 3 2 2 4_8 priedas" xfId="8723" xr:uid="{51C710E7-70EE-44E3-AEA3-02AA0090FBA8}"/>
    <cellStyle name="Įprastas 5 2 3 2 3 2 2 5" xfId="6617" xr:uid="{A240903F-C717-4623-ABEC-CA1C0EF1B63E}"/>
    <cellStyle name="Įprastas 5 2 3 2 3 2 2 6" xfId="3161" xr:uid="{A23458D2-B243-4A28-9C4C-1C68DEDCA8FA}"/>
    <cellStyle name="Įprastas 5 2 3 2 3 2 2_8 priedas" xfId="1084" xr:uid="{00000000-0005-0000-0000-00002C010000}"/>
    <cellStyle name="Įprastas 5 2 3 2 3 2 3" xfId="130" xr:uid="{00000000-0005-0000-0000-00002D010000}"/>
    <cellStyle name="Įprastas 5 2 3 2 3 2 3 2" xfId="846" xr:uid="{00000000-0005-0000-0000-00002E010000}"/>
    <cellStyle name="Įprastas 5 2 3 2 3 2 3 2 2" xfId="1520" xr:uid="{48558B70-CF6C-47F4-AB77-75EAD7347E06}"/>
    <cellStyle name="Įprastas 5 2 3 2 3 2 3 2 2 2" xfId="6451" xr:uid="{A37BFE2E-FDCD-40CA-B02F-D246B6D98373}"/>
    <cellStyle name="Įprastas 5 2 3 2 3 2 3 2 2 3" xfId="8179" xr:uid="{60FEAD5A-788E-40A0-8A69-9E1366588300}"/>
    <cellStyle name="Įprastas 5 2 3 2 3 2 3 2 2 4" xfId="4723" xr:uid="{E9B5D0CD-9CDC-4D50-976C-1E64082B52C3}"/>
    <cellStyle name="Įprastas 5 2 3 2 3 2 3 2 2_8 priedas" xfId="8725" xr:uid="{B18E08B8-11A9-4F5A-9403-6291849A6DCB}"/>
    <cellStyle name="Įprastas 5 2 3 2 3 2 3 2 3" xfId="2994" xr:uid="{5AA8F158-3A32-4080-A2F8-37F3B53E945F}"/>
    <cellStyle name="Įprastas 5 2 3 2 3 2 3 2 3 2" xfId="5587" xr:uid="{9AAD4431-59E2-479C-8D98-A540F490F066}"/>
    <cellStyle name="Įprastas 5 2 3 2 3 2 3 2 3_8 priedas" xfId="8726" xr:uid="{C51DF46A-E48D-42F9-82CD-77B8CC78720B}"/>
    <cellStyle name="Įprastas 5 2 3 2 3 2 3 2 4" xfId="7315" xr:uid="{99F90ED9-A5AA-440B-AFBC-8F2B8B134E02}"/>
    <cellStyle name="Įprastas 5 2 3 2 3 2 3 2 5" xfId="3859" xr:uid="{589A569E-B51D-4C12-BD02-BB8853BA3A5E}"/>
    <cellStyle name="Įprastas 5 2 3 2 3 2 3 2_8 priedas" xfId="8724" xr:uid="{64E73D01-9B12-4042-993A-7566547AD352}"/>
    <cellStyle name="Įprastas 5 2 3 2 3 2 3 3" xfId="1521" xr:uid="{D1446EC4-D213-457E-9BDD-51BA55B13624}"/>
    <cellStyle name="Įprastas 5 2 3 2 3 2 3 3 2" xfId="5754" xr:uid="{2E0AFCF3-9B90-4BF9-B73B-B13F89D60A3E}"/>
    <cellStyle name="Įprastas 5 2 3 2 3 2 3 3 3" xfId="7482" xr:uid="{F07C023A-7C38-4F91-92D5-ABE88E70060A}"/>
    <cellStyle name="Įprastas 5 2 3 2 3 2 3 3 4" xfId="4026" xr:uid="{9D505D44-078D-40BE-8905-E31FCF86EEB0}"/>
    <cellStyle name="Įprastas 5 2 3 2 3 2 3 3_8 priedas" xfId="8727" xr:uid="{CBC82B68-44E2-4522-BE57-7BFBD117CC12}"/>
    <cellStyle name="Įprastas 5 2 3 2 3 2 3 4" xfId="2297" xr:uid="{AEBCB276-3B45-4B34-A2D9-A17986668AEF}"/>
    <cellStyle name="Įprastas 5 2 3 2 3 2 3 4 2" xfId="4890" xr:uid="{29E096B1-5A27-45C3-AF99-18AA8C6725FA}"/>
    <cellStyle name="Įprastas 5 2 3 2 3 2 3 4_8 priedas" xfId="8728" xr:uid="{31527E2B-FCF7-4D79-937C-80094640E657}"/>
    <cellStyle name="Įprastas 5 2 3 2 3 2 3 5" xfId="6618" xr:uid="{0C63433C-CF0B-4E26-BBF8-82FECE152E7D}"/>
    <cellStyle name="Įprastas 5 2 3 2 3 2 3 6" xfId="3162" xr:uid="{44ACB7BD-C585-48AF-A127-BB07E698FDE2}"/>
    <cellStyle name="Įprastas 5 2 3 2 3 2 3_8 priedas" xfId="1309" xr:uid="{00000000-0005-0000-0000-00002F010000}"/>
    <cellStyle name="Įprastas 5 2 3 2 3 2 4" xfId="558" xr:uid="{00000000-0005-0000-0000-000030010000}"/>
    <cellStyle name="Įprastas 5 2 3 2 3 2 4 2" xfId="1522" xr:uid="{71A9F61F-02FA-452F-922C-E36243B0E67D}"/>
    <cellStyle name="Įprastas 5 2 3 2 3 2 4 2 2" xfId="6163" xr:uid="{B0A6D2A3-7054-4889-844D-6E38E99F19FD}"/>
    <cellStyle name="Įprastas 5 2 3 2 3 2 4 2 3" xfId="7891" xr:uid="{A433AB6F-9BF3-4C5E-B96A-BCAC56A6C702}"/>
    <cellStyle name="Įprastas 5 2 3 2 3 2 4 2 4" xfId="4435" xr:uid="{939BF91E-1082-4700-BD48-5B54443E0E36}"/>
    <cellStyle name="Įprastas 5 2 3 2 3 2 4 2_8 priedas" xfId="8730" xr:uid="{4E23A5D2-788A-4D82-A4C1-3B28B19C4015}"/>
    <cellStyle name="Įprastas 5 2 3 2 3 2 4 3" xfId="2706" xr:uid="{DF2527BF-BEA1-4F97-83E8-E9C9A51CDCEE}"/>
    <cellStyle name="Įprastas 5 2 3 2 3 2 4 3 2" xfId="5299" xr:uid="{7A042F52-27C7-4E92-9C02-308F787CE3BC}"/>
    <cellStyle name="Įprastas 5 2 3 2 3 2 4 3_8 priedas" xfId="8731" xr:uid="{1BBF9E7B-B868-4113-A955-AEA5A5B2B986}"/>
    <cellStyle name="Įprastas 5 2 3 2 3 2 4 4" xfId="7027" xr:uid="{0D23577A-8102-4B0E-99A9-5FA642E7309D}"/>
    <cellStyle name="Įprastas 5 2 3 2 3 2 4 5" xfId="3571" xr:uid="{3E5C58F3-9E99-4611-BF76-8FF8CBEB4B48}"/>
    <cellStyle name="Įprastas 5 2 3 2 3 2 4_8 priedas" xfId="8729" xr:uid="{A32DFEAA-CC4E-4F1E-A5B6-6FBEADBECF5F}"/>
    <cellStyle name="Įprastas 5 2 3 2 3 2 5" xfId="1523" xr:uid="{2FD2A6FA-91A2-426C-813A-10241DFB713B}"/>
    <cellStyle name="Įprastas 5 2 3 2 3 2 5 2" xfId="5752" xr:uid="{41DAD731-4ABA-4A96-AEA8-E79AC73D1810}"/>
    <cellStyle name="Įprastas 5 2 3 2 3 2 5 3" xfId="7480" xr:uid="{7A00F665-0B40-43CB-9AB5-FF963B344DD5}"/>
    <cellStyle name="Įprastas 5 2 3 2 3 2 5 4" xfId="4024" xr:uid="{DBBA91C7-EAD2-4C9F-88BE-FB6AB050EC5A}"/>
    <cellStyle name="Įprastas 5 2 3 2 3 2 5_8 priedas" xfId="8732" xr:uid="{60B00FBD-BCF9-40A6-84CA-7E1893BA2461}"/>
    <cellStyle name="Įprastas 5 2 3 2 3 2 6" xfId="2295" xr:uid="{2FC7B26E-BAA6-4B75-A3D7-E29943385A8A}"/>
    <cellStyle name="Įprastas 5 2 3 2 3 2 6 2" xfId="4888" xr:uid="{0B2C6CF8-84E6-4640-9D90-8C1FE7F4BF62}"/>
    <cellStyle name="Įprastas 5 2 3 2 3 2 6_8 priedas" xfId="8733" xr:uid="{3399EA83-F503-491B-B98A-D597DD4031F9}"/>
    <cellStyle name="Įprastas 5 2 3 2 3 2 7" xfId="6616" xr:uid="{FBAF6AD7-FB94-4BAB-9A8A-36B8CD39A145}"/>
    <cellStyle name="Įprastas 5 2 3 2 3 2 8" xfId="3160" xr:uid="{6A752CB7-AFCD-49E6-8DA4-6B9B2A8EECB1}"/>
    <cellStyle name="Įprastas 5 2 3 2 3 2_8 priedas" xfId="1218" xr:uid="{00000000-0005-0000-0000-000031010000}"/>
    <cellStyle name="Įprastas 5 2 3 2 3 3" xfId="131" xr:uid="{00000000-0005-0000-0000-000032010000}"/>
    <cellStyle name="Įprastas 5 2 3 2 3 3 2" xfId="132" xr:uid="{00000000-0005-0000-0000-000033010000}"/>
    <cellStyle name="Įprastas 5 2 3 2 3 3 2 2" xfId="750" xr:uid="{00000000-0005-0000-0000-000034010000}"/>
    <cellStyle name="Įprastas 5 2 3 2 3 3 2 2 2" xfId="1524" xr:uid="{226F5398-D5E2-490E-AA8B-092EB00AA3BB}"/>
    <cellStyle name="Įprastas 5 2 3 2 3 3 2 2 2 2" xfId="6355" xr:uid="{03644B32-ABEE-41BA-BF43-ADE4BBBC8E7B}"/>
    <cellStyle name="Įprastas 5 2 3 2 3 3 2 2 2 3" xfId="8083" xr:uid="{399B4D0A-16A3-41D6-9D28-02B28430ED13}"/>
    <cellStyle name="Įprastas 5 2 3 2 3 3 2 2 2 4" xfId="4627" xr:uid="{2189581D-C807-4DFF-B586-17269742936B}"/>
    <cellStyle name="Įprastas 5 2 3 2 3 3 2 2 2_8 priedas" xfId="8735" xr:uid="{3F68FDFE-86B2-4852-9556-80A6481BF6DD}"/>
    <cellStyle name="Įprastas 5 2 3 2 3 3 2 2 3" xfId="2898" xr:uid="{E7E37938-F82B-4572-A86F-8BB5EAA2D0F7}"/>
    <cellStyle name="Įprastas 5 2 3 2 3 3 2 2 3 2" xfId="5491" xr:uid="{F8A9C8B8-211C-4F87-B2DB-1611F1F05840}"/>
    <cellStyle name="Įprastas 5 2 3 2 3 3 2 2 3_8 priedas" xfId="8736" xr:uid="{1588D6DF-3F5B-4C53-83A5-0050272373B8}"/>
    <cellStyle name="Įprastas 5 2 3 2 3 3 2 2 4" xfId="7219" xr:uid="{EF52F3C3-8981-4583-A878-0C465862A740}"/>
    <cellStyle name="Įprastas 5 2 3 2 3 3 2 2 5" xfId="3763" xr:uid="{0078CB69-B240-473B-BC3C-E3CCD987B110}"/>
    <cellStyle name="Įprastas 5 2 3 2 3 3 2 2_8 priedas" xfId="8734" xr:uid="{4A5A4C97-C84C-4E1B-9B67-2942AEE00A67}"/>
    <cellStyle name="Įprastas 5 2 3 2 3 3 2 3" xfId="1525" xr:uid="{EA6B60B9-C658-4E39-B119-EA16AF6BA1DC}"/>
    <cellStyle name="Įprastas 5 2 3 2 3 3 2 3 2" xfId="5756" xr:uid="{2A174994-0505-4F7B-A6D2-CF1C939C0851}"/>
    <cellStyle name="Įprastas 5 2 3 2 3 3 2 3 3" xfId="7484" xr:uid="{363F4ADA-B13D-4AEC-9A28-C24A16554536}"/>
    <cellStyle name="Įprastas 5 2 3 2 3 3 2 3 4" xfId="4028" xr:uid="{88E79E51-97AE-44C4-BF0B-D73245755BE9}"/>
    <cellStyle name="Įprastas 5 2 3 2 3 3 2 3_8 priedas" xfId="8737" xr:uid="{6F82695E-76B7-40E1-9D59-BE57394D82C8}"/>
    <cellStyle name="Įprastas 5 2 3 2 3 3 2 4" xfId="2299" xr:uid="{BA1C556F-7BEC-4B9F-8661-C4EC3E6F9E01}"/>
    <cellStyle name="Įprastas 5 2 3 2 3 3 2 4 2" xfId="4892" xr:uid="{E44CCCD0-75D4-460D-89B9-EDAAACE67D74}"/>
    <cellStyle name="Įprastas 5 2 3 2 3 3 2 4_8 priedas" xfId="8738" xr:uid="{161B8DCC-83E2-428F-AAFD-7A632632D831}"/>
    <cellStyle name="Įprastas 5 2 3 2 3 3 2 5" xfId="6620" xr:uid="{392CA871-E057-498C-9543-8EBE438FCB9E}"/>
    <cellStyle name="Įprastas 5 2 3 2 3 3 2 6" xfId="3164" xr:uid="{C0A7B95E-9A7C-4080-BB68-43B42BA734E6}"/>
    <cellStyle name="Įprastas 5 2 3 2 3 3 2_8 priedas" xfId="1036" xr:uid="{00000000-0005-0000-0000-000035010000}"/>
    <cellStyle name="Įprastas 5 2 3 2 3 3 3" xfId="133" xr:uid="{00000000-0005-0000-0000-000036010000}"/>
    <cellStyle name="Įprastas 5 2 3 2 3 3 3 2" xfId="894" xr:uid="{00000000-0005-0000-0000-000037010000}"/>
    <cellStyle name="Įprastas 5 2 3 2 3 3 3 2 2" xfId="1526" xr:uid="{ADF8483F-57BC-4980-8D7C-89D24F411A5C}"/>
    <cellStyle name="Įprastas 5 2 3 2 3 3 3 2 2 2" xfId="6499" xr:uid="{5661F024-FC73-48D7-B7D6-B798ABFE0513}"/>
    <cellStyle name="Įprastas 5 2 3 2 3 3 3 2 2 3" xfId="8227" xr:uid="{88A4F88F-D997-4B6F-86F9-56B200AEB996}"/>
    <cellStyle name="Įprastas 5 2 3 2 3 3 3 2 2 4" xfId="4771" xr:uid="{A74EA5C7-3E4C-4FAD-A7FA-5D6D06A65D97}"/>
    <cellStyle name="Įprastas 5 2 3 2 3 3 3 2 2_8 priedas" xfId="8740" xr:uid="{110BDF8F-43BE-44C9-84F6-28667DEFAE74}"/>
    <cellStyle name="Įprastas 5 2 3 2 3 3 3 2 3" xfId="3042" xr:uid="{3460F309-A108-4890-BCCC-8364D268919D}"/>
    <cellStyle name="Įprastas 5 2 3 2 3 3 3 2 3 2" xfId="5635" xr:uid="{3384F9DD-9CCB-4F63-B17B-56788664B7B4}"/>
    <cellStyle name="Įprastas 5 2 3 2 3 3 3 2 3_8 priedas" xfId="8741" xr:uid="{B6AF0764-8A07-497D-8461-BDBBFF070357}"/>
    <cellStyle name="Įprastas 5 2 3 2 3 3 3 2 4" xfId="7363" xr:uid="{F21C1A70-0276-4937-9EFD-133E742D79B4}"/>
    <cellStyle name="Įprastas 5 2 3 2 3 3 3 2 5" xfId="3907" xr:uid="{C4FD1103-C526-4EE2-B422-F68C8FD3E54C}"/>
    <cellStyle name="Įprastas 5 2 3 2 3 3 3 2_8 priedas" xfId="8739" xr:uid="{3E630B63-0967-412C-ABC3-CE4197BABD33}"/>
    <cellStyle name="Įprastas 5 2 3 2 3 3 3 3" xfId="1527" xr:uid="{6CA48292-C9CE-484C-BB26-3D389790748D}"/>
    <cellStyle name="Įprastas 5 2 3 2 3 3 3 3 2" xfId="5757" xr:uid="{882B8060-72C3-4FF0-8EBD-A0914D3457BB}"/>
    <cellStyle name="Įprastas 5 2 3 2 3 3 3 3 3" xfId="7485" xr:uid="{236CEB6D-80F3-4F22-ADF6-78F8256D0581}"/>
    <cellStyle name="Įprastas 5 2 3 2 3 3 3 3 4" xfId="4029" xr:uid="{5FAF67A7-648F-43E0-88B8-3E16D494D743}"/>
    <cellStyle name="Įprastas 5 2 3 2 3 3 3 3_8 priedas" xfId="8742" xr:uid="{17BE0D01-DD21-4C3E-A4AE-D1EB5417EF88}"/>
    <cellStyle name="Įprastas 5 2 3 2 3 3 3 4" xfId="2300" xr:uid="{3DA0D04B-F31F-44E8-99AF-2AC1532E075A}"/>
    <cellStyle name="Įprastas 5 2 3 2 3 3 3 4 2" xfId="4893" xr:uid="{801D2677-ED6D-48B9-AA97-3A2B993EFEA6}"/>
    <cellStyle name="Įprastas 5 2 3 2 3 3 3 4_8 priedas" xfId="8743" xr:uid="{4430A68A-1F08-42B6-A13A-E0D3FE065AE0}"/>
    <cellStyle name="Įprastas 5 2 3 2 3 3 3 5" xfId="6621" xr:uid="{93D85CD6-1181-4D54-B6B3-013EA88B555F}"/>
    <cellStyle name="Įprastas 5 2 3 2 3 3 3 6" xfId="3165" xr:uid="{5ED1A440-E9F6-4516-B357-637A86CD602B}"/>
    <cellStyle name="Įprastas 5 2 3 2 3 3 3_8 priedas" xfId="1260" xr:uid="{00000000-0005-0000-0000-000038010000}"/>
    <cellStyle name="Įprastas 5 2 3 2 3 3 4" xfId="606" xr:uid="{00000000-0005-0000-0000-000039010000}"/>
    <cellStyle name="Įprastas 5 2 3 2 3 3 4 2" xfId="1528" xr:uid="{F93D9C04-4B53-418D-8681-1D3348B259C8}"/>
    <cellStyle name="Įprastas 5 2 3 2 3 3 4 2 2" xfId="6211" xr:uid="{6927A1A9-8697-40A9-8A1E-FE9529D8B732}"/>
    <cellStyle name="Įprastas 5 2 3 2 3 3 4 2 3" xfId="7939" xr:uid="{D7026F05-540E-4086-B2DF-1D0F704586B9}"/>
    <cellStyle name="Įprastas 5 2 3 2 3 3 4 2 4" xfId="4483" xr:uid="{C54805E5-5B12-4E3A-8DEA-896F30C68E11}"/>
    <cellStyle name="Įprastas 5 2 3 2 3 3 4 2_8 priedas" xfId="8745" xr:uid="{277FA0B9-2A72-4A00-8EC8-CF7C60867E7F}"/>
    <cellStyle name="Įprastas 5 2 3 2 3 3 4 3" xfId="2754" xr:uid="{92C232CE-FFE4-47B0-9757-0CA9FB095E53}"/>
    <cellStyle name="Įprastas 5 2 3 2 3 3 4 3 2" xfId="5347" xr:uid="{9379D408-8070-4D43-A104-5422CBEE3BC9}"/>
    <cellStyle name="Įprastas 5 2 3 2 3 3 4 3_8 priedas" xfId="8746" xr:uid="{11E8ACAA-46F6-46E0-90C8-C6085C174ADD}"/>
    <cellStyle name="Įprastas 5 2 3 2 3 3 4 4" xfId="7075" xr:uid="{41505F06-E55B-4E0D-AF44-2EB52E63D3C8}"/>
    <cellStyle name="Įprastas 5 2 3 2 3 3 4 5" xfId="3619" xr:uid="{3AAE14E2-C8B2-4257-AD98-EC98FFEA1F18}"/>
    <cellStyle name="Įprastas 5 2 3 2 3 3 4_8 priedas" xfId="8744" xr:uid="{05D0F128-EE7C-4C0E-942A-75F227026319}"/>
    <cellStyle name="Įprastas 5 2 3 2 3 3 5" xfId="1529" xr:uid="{5008FAD8-F390-4DFB-9835-A639F1910F08}"/>
    <cellStyle name="Įprastas 5 2 3 2 3 3 5 2" xfId="5755" xr:uid="{67CBAFB0-37F5-4EAA-882D-374525FAD23B}"/>
    <cellStyle name="Įprastas 5 2 3 2 3 3 5 3" xfId="7483" xr:uid="{B9C2B283-1373-4CCC-A074-78C83059DFC0}"/>
    <cellStyle name="Įprastas 5 2 3 2 3 3 5 4" xfId="4027" xr:uid="{169D90FB-5ED2-4EF6-8EAF-5D34D7648B3D}"/>
    <cellStyle name="Įprastas 5 2 3 2 3 3 5_8 priedas" xfId="8747" xr:uid="{AE478E59-104C-42B6-92F8-1B1C9F5C8C23}"/>
    <cellStyle name="Įprastas 5 2 3 2 3 3 6" xfId="2298" xr:uid="{E72AA9B2-1A3D-4D03-9DE8-057664598BA0}"/>
    <cellStyle name="Įprastas 5 2 3 2 3 3 6 2" xfId="4891" xr:uid="{12AB898F-3B19-43B2-AE97-CF11CEDDB398}"/>
    <cellStyle name="Įprastas 5 2 3 2 3 3 6_8 priedas" xfId="8748" xr:uid="{33BFAED4-3016-4BE8-8118-FC51DFBCC283}"/>
    <cellStyle name="Įprastas 5 2 3 2 3 3 7" xfId="6619" xr:uid="{715EA02A-B388-4807-BFF1-448F3CC02F93}"/>
    <cellStyle name="Įprastas 5 2 3 2 3 3 8" xfId="3163" xr:uid="{3E254DC3-DCAF-4688-B6F0-1B989ABB4775}"/>
    <cellStyle name="Įprastas 5 2 3 2 3 3_8 priedas" xfId="1172" xr:uid="{00000000-0005-0000-0000-00003A010000}"/>
    <cellStyle name="Įprastas 5 2 3 2 3 4" xfId="134" xr:uid="{00000000-0005-0000-0000-00003B010000}"/>
    <cellStyle name="Įprastas 5 2 3 2 3 4 2" xfId="654" xr:uid="{00000000-0005-0000-0000-00003C010000}"/>
    <cellStyle name="Įprastas 5 2 3 2 3 4 2 2" xfId="1530" xr:uid="{307B8308-2B76-49EE-9760-41DC6D5D0C90}"/>
    <cellStyle name="Įprastas 5 2 3 2 3 4 2 2 2" xfId="6259" xr:uid="{55805D0F-B4FE-4F3D-9D1A-6B2CA1F8831B}"/>
    <cellStyle name="Įprastas 5 2 3 2 3 4 2 2 3" xfId="7987" xr:uid="{54A809D1-5475-4D0D-A8A9-AFF40936E00A}"/>
    <cellStyle name="Įprastas 5 2 3 2 3 4 2 2 4" xfId="4531" xr:uid="{761E52B7-25B7-4729-9B59-4CE07F4380B7}"/>
    <cellStyle name="Įprastas 5 2 3 2 3 4 2 2_8 priedas" xfId="8750" xr:uid="{BDFAA63D-D334-4976-9F71-988229DA3F1C}"/>
    <cellStyle name="Įprastas 5 2 3 2 3 4 2 3" xfId="2802" xr:uid="{5E3B4A68-2752-4116-B623-3CCFC4008A9F}"/>
    <cellStyle name="Įprastas 5 2 3 2 3 4 2 3 2" xfId="5395" xr:uid="{4C139757-D11E-47E7-926F-8BB6886B17E2}"/>
    <cellStyle name="Įprastas 5 2 3 2 3 4 2 3_8 priedas" xfId="8751" xr:uid="{B3A77E32-A403-4184-BF06-4B25A856C103}"/>
    <cellStyle name="Įprastas 5 2 3 2 3 4 2 4" xfId="7123" xr:uid="{BF469CED-14E5-41A2-AF46-3901A950AFA2}"/>
    <cellStyle name="Įprastas 5 2 3 2 3 4 2 5" xfId="3667" xr:uid="{F0A66352-53C6-49F9-915F-2602A934F13B}"/>
    <cellStyle name="Įprastas 5 2 3 2 3 4 2_8 priedas" xfId="8749" xr:uid="{E69121E0-8905-455B-B8B6-BAE42F3C6788}"/>
    <cellStyle name="Įprastas 5 2 3 2 3 4 3" xfId="1531" xr:uid="{69D5A781-98EB-40B8-9A4D-18C6174BB8FF}"/>
    <cellStyle name="Įprastas 5 2 3 2 3 4 3 2" xfId="5758" xr:uid="{A664F142-0D9A-4AC2-A6BC-F3B4C7490492}"/>
    <cellStyle name="Įprastas 5 2 3 2 3 4 3 3" xfId="7486" xr:uid="{5B39A38E-1D5F-4A07-B0F3-265EBC66E9F3}"/>
    <cellStyle name="Įprastas 5 2 3 2 3 4 3 4" xfId="4030" xr:uid="{ACA2E0DD-E4DD-4719-9679-C981FF8691DD}"/>
    <cellStyle name="Įprastas 5 2 3 2 3 4 3_8 priedas" xfId="8752" xr:uid="{2F225CC6-1245-4C3E-8219-AF92483A6A1E}"/>
    <cellStyle name="Įprastas 5 2 3 2 3 4 4" xfId="2301" xr:uid="{D5322E33-20B7-4070-A075-EC1B9403BD13}"/>
    <cellStyle name="Įprastas 5 2 3 2 3 4 4 2" xfId="4894" xr:uid="{8EB3458C-BBD5-4418-B191-4975553D8A86}"/>
    <cellStyle name="Įprastas 5 2 3 2 3 4 4_8 priedas" xfId="8753" xr:uid="{8ECB9B93-6DF1-48A9-AD36-C0C99B828DF1}"/>
    <cellStyle name="Įprastas 5 2 3 2 3 4 5" xfId="6622" xr:uid="{86384458-3E15-4BF8-A1AD-C9B19410D3FA}"/>
    <cellStyle name="Įprastas 5 2 3 2 3 4 6" xfId="3166" xr:uid="{74910E34-6696-48BF-8895-EAA992861AE2}"/>
    <cellStyle name="Įprastas 5 2 3 2 3 4_8 priedas" xfId="1124" xr:uid="{00000000-0005-0000-0000-00003D010000}"/>
    <cellStyle name="Įprastas 5 2 3 2 3 5" xfId="135" xr:uid="{00000000-0005-0000-0000-00003E010000}"/>
    <cellStyle name="Įprastas 5 2 3 2 3 5 2" xfId="798" xr:uid="{00000000-0005-0000-0000-00003F010000}"/>
    <cellStyle name="Įprastas 5 2 3 2 3 5 2 2" xfId="1532" xr:uid="{BCAD8C0C-2CF3-474C-A609-E3FA1B273E63}"/>
    <cellStyle name="Įprastas 5 2 3 2 3 5 2 2 2" xfId="6403" xr:uid="{76A8CC6A-6BEF-4DBC-BD0F-337197F598B2}"/>
    <cellStyle name="Įprastas 5 2 3 2 3 5 2 2 3" xfId="8131" xr:uid="{38C83353-83B8-4A64-81B5-044611C79B8F}"/>
    <cellStyle name="Įprastas 5 2 3 2 3 5 2 2 4" xfId="4675" xr:uid="{54F74C1B-B809-4FF3-A244-8A39994547BB}"/>
    <cellStyle name="Įprastas 5 2 3 2 3 5 2 2_8 priedas" xfId="8755" xr:uid="{048B4647-AB29-4F05-B6A3-45F45E67E81C}"/>
    <cellStyle name="Įprastas 5 2 3 2 3 5 2 3" xfId="2946" xr:uid="{078AF77F-5214-4B42-83EE-410FBF7B519D}"/>
    <cellStyle name="Įprastas 5 2 3 2 3 5 2 3 2" xfId="5539" xr:uid="{A5087E8D-1230-4628-9718-47DD7CDF0257}"/>
    <cellStyle name="Įprastas 5 2 3 2 3 5 2 3_8 priedas" xfId="8756" xr:uid="{220DC8B9-14F8-4603-A928-0E7E6DEC17F3}"/>
    <cellStyle name="Įprastas 5 2 3 2 3 5 2 4" xfId="7267" xr:uid="{3B299904-432E-4056-854C-619556C8C173}"/>
    <cellStyle name="Įprastas 5 2 3 2 3 5 2 5" xfId="3811" xr:uid="{3BB898ED-D368-4649-839F-E0463493FE33}"/>
    <cellStyle name="Įprastas 5 2 3 2 3 5 2_8 priedas" xfId="8754" xr:uid="{718DD79A-D12E-4B34-9BF6-62DAB72437EE}"/>
    <cellStyle name="Įprastas 5 2 3 2 3 5 3" xfId="1533" xr:uid="{8C1219BB-FE79-48EE-A27B-8B8F56E6FB9C}"/>
    <cellStyle name="Įprastas 5 2 3 2 3 5 3 2" xfId="5759" xr:uid="{6826390E-45EA-47C3-BB8C-6951A9820F71}"/>
    <cellStyle name="Įprastas 5 2 3 2 3 5 3 3" xfId="7487" xr:uid="{30C979D0-535A-45D1-943D-34606AD9C8FD}"/>
    <cellStyle name="Įprastas 5 2 3 2 3 5 3 4" xfId="4031" xr:uid="{C0B5B96F-5435-4663-A87D-2C2AF7A7BD89}"/>
    <cellStyle name="Įprastas 5 2 3 2 3 5 3_8 priedas" xfId="8757" xr:uid="{D7D905F8-11FF-470F-90A8-3E7D93DCAE7B}"/>
    <cellStyle name="Įprastas 5 2 3 2 3 5 4" xfId="2302" xr:uid="{4A4CC93D-81A0-42C4-86FF-87C3F6443025}"/>
    <cellStyle name="Įprastas 5 2 3 2 3 5 4 2" xfId="4895" xr:uid="{421C701A-ADC9-46D0-8449-2D601A5A26C3}"/>
    <cellStyle name="Įprastas 5 2 3 2 3 5 4_8 priedas" xfId="8758" xr:uid="{38C9256C-F639-4FFF-82CF-C24CBEE133C2}"/>
    <cellStyle name="Įprastas 5 2 3 2 3 5 5" xfId="6623" xr:uid="{6221B9D9-9135-4F5F-A453-0FBD8E3C1484}"/>
    <cellStyle name="Įprastas 5 2 3 2 3 5 6" xfId="3167" xr:uid="{A976177A-0674-4257-A088-158F048B39D2}"/>
    <cellStyle name="Įprastas 5 2 3 2 3 5_8 priedas" xfId="988" xr:uid="{00000000-0005-0000-0000-000040010000}"/>
    <cellStyle name="Įprastas 5 2 3 2 3 6" xfId="510" xr:uid="{00000000-0005-0000-0000-000041010000}"/>
    <cellStyle name="Įprastas 5 2 3 2 3 6 2" xfId="1534" xr:uid="{0FCD140C-3206-489B-BAC8-F32AEA1EF4C7}"/>
    <cellStyle name="Įprastas 5 2 3 2 3 6 2 2" xfId="6115" xr:uid="{CB9C4C73-278E-44F5-97F9-BFDDE9A0C106}"/>
    <cellStyle name="Įprastas 5 2 3 2 3 6 2 3" xfId="7843" xr:uid="{96C29AD5-EEA3-4244-84C1-7B933D609424}"/>
    <cellStyle name="Įprastas 5 2 3 2 3 6 2 4" xfId="4387" xr:uid="{21B7AA7D-F7A4-4DB3-B414-7B0873123631}"/>
    <cellStyle name="Įprastas 5 2 3 2 3 6 2_8 priedas" xfId="8760" xr:uid="{5869EFC7-F69A-4930-A25C-38041B19E837}"/>
    <cellStyle name="Įprastas 5 2 3 2 3 6 3" xfId="2658" xr:uid="{FCF54184-C04E-4622-A4F0-C1A9890706C6}"/>
    <cellStyle name="Įprastas 5 2 3 2 3 6 3 2" xfId="5251" xr:uid="{E9C4ED8D-37BB-4A93-ACC5-6A4DBEE89183}"/>
    <cellStyle name="Įprastas 5 2 3 2 3 6 3_8 priedas" xfId="8761" xr:uid="{A41EA881-9956-4D8B-AD04-5DFDFED29980}"/>
    <cellStyle name="Įprastas 5 2 3 2 3 6 4" xfId="6979" xr:uid="{2A31BD7B-0E54-4349-A48D-D59D1D44508A}"/>
    <cellStyle name="Įprastas 5 2 3 2 3 6 5" xfId="3523" xr:uid="{8BDDF214-B6D7-4B88-A99C-66BDE4E22951}"/>
    <cellStyle name="Įprastas 5 2 3 2 3 6_8 priedas" xfId="8759" xr:uid="{7C58ECE1-3CE9-45D4-B07D-EF99277CA4FC}"/>
    <cellStyle name="Įprastas 5 2 3 2 3 7" xfId="1535" xr:uid="{DE120B5C-71FA-4A5B-B656-8FE606E5451C}"/>
    <cellStyle name="Įprastas 5 2 3 2 3 7 2" xfId="5751" xr:uid="{91203C72-EA2F-4522-A91D-318FB094B953}"/>
    <cellStyle name="Įprastas 5 2 3 2 3 7 3" xfId="7479" xr:uid="{70A32B17-89BA-4983-B383-41B778181506}"/>
    <cellStyle name="Įprastas 5 2 3 2 3 7 4" xfId="4023" xr:uid="{01351076-F035-452D-AE16-3DA1F25DE952}"/>
    <cellStyle name="Įprastas 5 2 3 2 3 7_8 priedas" xfId="8762" xr:uid="{41EAF67B-0F1A-4319-B723-56ADE6F2F111}"/>
    <cellStyle name="Įprastas 5 2 3 2 3 8" xfId="2294" xr:uid="{BF35F352-BDA2-451B-A17A-C911E1E4CA9A}"/>
    <cellStyle name="Įprastas 5 2 3 2 3 8 2" xfId="4887" xr:uid="{D3E0D048-925D-42AC-9DDE-7C4C87CC4BD7}"/>
    <cellStyle name="Įprastas 5 2 3 2 3 8_8 priedas" xfId="8763" xr:uid="{4BA2298B-3DFA-40D8-8E05-57C0FCBF942E}"/>
    <cellStyle name="Įprastas 5 2 3 2 3 9" xfId="6615" xr:uid="{B54FCB82-5BF6-455C-9844-50CD46362087}"/>
    <cellStyle name="Įprastas 5 2 3 2 3_8 priedas" xfId="970" xr:uid="{00000000-0005-0000-0000-000042010000}"/>
    <cellStyle name="Įprastas 5 2 3 2 4" xfId="136" xr:uid="{00000000-0005-0000-0000-000043010000}"/>
    <cellStyle name="Įprastas 5 2 3 2 4 2" xfId="137" xr:uid="{00000000-0005-0000-0000-000044010000}"/>
    <cellStyle name="Įprastas 5 2 3 2 4 2 2" xfId="678" xr:uid="{00000000-0005-0000-0000-000045010000}"/>
    <cellStyle name="Įprastas 5 2 3 2 4 2 2 2" xfId="1536" xr:uid="{75D3D197-76F9-46BA-83C8-F2F5887330CF}"/>
    <cellStyle name="Įprastas 5 2 3 2 4 2 2 2 2" xfId="6283" xr:uid="{FD4ACF2C-FCD8-4D1E-88A3-F998C9E01CBC}"/>
    <cellStyle name="Įprastas 5 2 3 2 4 2 2 2 3" xfId="8011" xr:uid="{0ED620EA-E46D-408A-BFB0-E854BEAA3C22}"/>
    <cellStyle name="Įprastas 5 2 3 2 4 2 2 2 4" xfId="4555" xr:uid="{E3317F71-FD06-4F4E-B428-3C35C03C2186}"/>
    <cellStyle name="Įprastas 5 2 3 2 4 2 2 2_8 priedas" xfId="8765" xr:uid="{1B701AFB-CEF5-4084-805F-56BEE42C3B7A}"/>
    <cellStyle name="Įprastas 5 2 3 2 4 2 2 3" xfId="2826" xr:uid="{4BA66024-7034-4D74-9372-1FDFF790C341}"/>
    <cellStyle name="Įprastas 5 2 3 2 4 2 2 3 2" xfId="5419" xr:uid="{FE13A08E-5067-4167-ABB6-8744F62E79E1}"/>
    <cellStyle name="Įprastas 5 2 3 2 4 2 2 3_8 priedas" xfId="8766" xr:uid="{AEE92C80-028D-4F7C-8A61-2F69F842259E}"/>
    <cellStyle name="Įprastas 5 2 3 2 4 2 2 4" xfId="7147" xr:uid="{07AF8059-292F-4572-AE01-0326C02E83E8}"/>
    <cellStyle name="Įprastas 5 2 3 2 4 2 2 5" xfId="3691" xr:uid="{81DAF8CC-E21E-4A19-99FE-353C59121FB4}"/>
    <cellStyle name="Įprastas 5 2 3 2 4 2 2_8 priedas" xfId="8764" xr:uid="{7AA18AB9-F52E-4E3F-B1FD-AF270DC5BDBF}"/>
    <cellStyle name="Įprastas 5 2 3 2 4 2 3" xfId="1537" xr:uid="{D2BF9BEA-FD6D-4466-B194-27654188AC7F}"/>
    <cellStyle name="Įprastas 5 2 3 2 4 2 3 2" xfId="5761" xr:uid="{317CB768-2068-4217-BBF2-E1942D07306D}"/>
    <cellStyle name="Įprastas 5 2 3 2 4 2 3 3" xfId="7489" xr:uid="{51E067D1-CBE4-4CBF-8763-7F1E3DF7025D}"/>
    <cellStyle name="Įprastas 5 2 3 2 4 2 3 4" xfId="4033" xr:uid="{A3DE098F-9DA7-4CC6-8A25-4FE8FA5AA773}"/>
    <cellStyle name="Įprastas 5 2 3 2 4 2 3_8 priedas" xfId="8767" xr:uid="{E3EAF5F5-229F-48F6-BC96-9E7F7D27714B}"/>
    <cellStyle name="Įprastas 5 2 3 2 4 2 4" xfId="2304" xr:uid="{7643694F-4526-413B-B7CF-4433FAB1412D}"/>
    <cellStyle name="Įprastas 5 2 3 2 4 2 4 2" xfId="4897" xr:uid="{24D6FC87-E7EA-4FF6-B922-5B2D80B9BDDC}"/>
    <cellStyle name="Įprastas 5 2 3 2 4 2 4_8 priedas" xfId="8768" xr:uid="{CEB27BCB-DADB-4340-9EAC-4EA5F6E01E29}"/>
    <cellStyle name="Įprastas 5 2 3 2 4 2 5" xfId="6625" xr:uid="{DF8F1689-249D-4CBB-B9D2-B79E1A53C5B6}"/>
    <cellStyle name="Įprastas 5 2 3 2 4 2 6" xfId="3169" xr:uid="{8E00DF2B-34B3-431C-B591-420937C59A8D}"/>
    <cellStyle name="Įprastas 5 2 3 2 4 2_8 priedas" xfId="1206" xr:uid="{00000000-0005-0000-0000-000046010000}"/>
    <cellStyle name="Įprastas 5 2 3 2 4 3" xfId="138" xr:uid="{00000000-0005-0000-0000-000047010000}"/>
    <cellStyle name="Įprastas 5 2 3 2 4 3 2" xfId="822" xr:uid="{00000000-0005-0000-0000-000048010000}"/>
    <cellStyle name="Įprastas 5 2 3 2 4 3 2 2" xfId="1538" xr:uid="{FFA28CF8-1739-438B-BBF4-176B76C5992C}"/>
    <cellStyle name="Įprastas 5 2 3 2 4 3 2 2 2" xfId="6427" xr:uid="{6977FEED-9551-4515-92C2-593687E56086}"/>
    <cellStyle name="Įprastas 5 2 3 2 4 3 2 2 3" xfId="8155" xr:uid="{4B0A9D63-6E4A-4AE9-89E2-38D5505402F9}"/>
    <cellStyle name="Įprastas 5 2 3 2 4 3 2 2 4" xfId="4699" xr:uid="{D6763EBF-773C-4934-A16B-F00B6B799047}"/>
    <cellStyle name="Įprastas 5 2 3 2 4 3 2 2_8 priedas" xfId="8770" xr:uid="{439880C7-AE41-40BE-B60D-9CCBB208E97B}"/>
    <cellStyle name="Įprastas 5 2 3 2 4 3 2 3" xfId="2970" xr:uid="{5EB07A68-5335-419E-9842-0E5E0090F36B}"/>
    <cellStyle name="Įprastas 5 2 3 2 4 3 2 3 2" xfId="5563" xr:uid="{055F2207-DAA5-471D-866E-53D253029274}"/>
    <cellStyle name="Įprastas 5 2 3 2 4 3 2 3_8 priedas" xfId="8771" xr:uid="{FBBCD275-309C-4B3D-A272-C09C880B4072}"/>
    <cellStyle name="Įprastas 5 2 3 2 4 3 2 4" xfId="7291" xr:uid="{8A1911A1-B1B9-447E-A503-156A4160337D}"/>
    <cellStyle name="Įprastas 5 2 3 2 4 3 2 5" xfId="3835" xr:uid="{F4B6C3B7-2F2E-4FEC-BAAB-619E4C036FA5}"/>
    <cellStyle name="Įprastas 5 2 3 2 4 3 2_8 priedas" xfId="8769" xr:uid="{1BFB720F-FE85-4CE9-8CB6-CB6909BBD075}"/>
    <cellStyle name="Įprastas 5 2 3 2 4 3 3" xfId="1539" xr:uid="{17918F47-61DC-484A-808C-15335B6A3979}"/>
    <cellStyle name="Įprastas 5 2 3 2 4 3 3 2" xfId="5762" xr:uid="{8FDD2CCC-E4A2-4C09-B8D4-556C1C936CBC}"/>
    <cellStyle name="Įprastas 5 2 3 2 4 3 3 3" xfId="7490" xr:uid="{0FCCBDE3-7F81-4BE5-BBC0-E74100D2F88B}"/>
    <cellStyle name="Įprastas 5 2 3 2 4 3 3 4" xfId="4034" xr:uid="{1BC6ECF0-02D1-4AAF-A7E0-CA76A7A341B2}"/>
    <cellStyle name="Įprastas 5 2 3 2 4 3 3_8 priedas" xfId="8772" xr:uid="{088382EB-25F3-422E-B793-A10E15BD05DE}"/>
    <cellStyle name="Įprastas 5 2 3 2 4 3 4" xfId="2305" xr:uid="{A3017856-82AE-49A5-966B-D98137046150}"/>
    <cellStyle name="Įprastas 5 2 3 2 4 3 4 2" xfId="4898" xr:uid="{A1820329-49B5-497E-A83E-817CDC79445B}"/>
    <cellStyle name="Įprastas 5 2 3 2 4 3 4_8 priedas" xfId="8773" xr:uid="{F7F77964-DEB2-4339-81C8-F39C3C66F9F5}"/>
    <cellStyle name="Įprastas 5 2 3 2 4 3 5" xfId="6626" xr:uid="{837AF535-FDCC-4B07-9D2A-24A6259C5FBA}"/>
    <cellStyle name="Įprastas 5 2 3 2 4 3 6" xfId="3170" xr:uid="{283ACB28-D660-4144-B878-E990FCE5C949}"/>
    <cellStyle name="Įprastas 5 2 3 2 4 3_8 priedas" xfId="1072" xr:uid="{00000000-0005-0000-0000-000049010000}"/>
    <cellStyle name="Įprastas 5 2 3 2 4 4" xfId="534" xr:uid="{00000000-0005-0000-0000-00004A010000}"/>
    <cellStyle name="Įprastas 5 2 3 2 4 4 2" xfId="1540" xr:uid="{35CA38D7-77ED-499A-89F1-5ACF789A667D}"/>
    <cellStyle name="Įprastas 5 2 3 2 4 4 2 2" xfId="6139" xr:uid="{961F423C-8EA4-481E-9321-69D473EF4635}"/>
    <cellStyle name="Įprastas 5 2 3 2 4 4 2 3" xfId="7867" xr:uid="{C2DF57D6-4BF6-4731-B1AC-C674C0EC6535}"/>
    <cellStyle name="Įprastas 5 2 3 2 4 4 2 4" xfId="4411" xr:uid="{87802A0D-C671-42E2-AF7A-8ACC4E13589C}"/>
    <cellStyle name="Įprastas 5 2 3 2 4 4 2_8 priedas" xfId="8775" xr:uid="{BE91B1AA-ABDD-4EC1-888E-CC6110E6616C}"/>
    <cellStyle name="Įprastas 5 2 3 2 4 4 3" xfId="2682" xr:uid="{317B322E-8AAC-4B1F-BC3F-4CBAA33D6A95}"/>
    <cellStyle name="Įprastas 5 2 3 2 4 4 3 2" xfId="5275" xr:uid="{54FC3F42-61EE-435E-9D14-AF2011151C2F}"/>
    <cellStyle name="Įprastas 5 2 3 2 4 4 3_8 priedas" xfId="8776" xr:uid="{C7C65A95-6048-405A-A941-9722E8770E94}"/>
    <cellStyle name="Įprastas 5 2 3 2 4 4 4" xfId="7003" xr:uid="{6915D4BE-B246-4DDC-938D-E3FC195768A6}"/>
    <cellStyle name="Įprastas 5 2 3 2 4 4 5" xfId="3547" xr:uid="{EE7D53EA-B616-4EFE-8F2B-3540C91894E6}"/>
    <cellStyle name="Įprastas 5 2 3 2 4 4_8 priedas" xfId="8774" xr:uid="{77A770D1-E82D-4439-8168-3038BC6A3CEC}"/>
    <cellStyle name="Įprastas 5 2 3 2 4 5" xfId="1541" xr:uid="{111AC108-6CAB-4BC2-8FE2-2FAA130E645B}"/>
    <cellStyle name="Įprastas 5 2 3 2 4 5 2" xfId="5760" xr:uid="{7B5A611C-31B8-4BE6-B5AB-A405432B4492}"/>
    <cellStyle name="Įprastas 5 2 3 2 4 5 3" xfId="7488" xr:uid="{C6353F3E-A678-4929-BD0F-203DB389CC03}"/>
    <cellStyle name="Įprastas 5 2 3 2 4 5 4" xfId="4032" xr:uid="{31711C0F-3552-419E-8EC2-F3762014659C}"/>
    <cellStyle name="Įprastas 5 2 3 2 4 5_8 priedas" xfId="8777" xr:uid="{05C67711-B33D-42F9-8AD6-274B871D83AE}"/>
    <cellStyle name="Įprastas 5 2 3 2 4 6" xfId="2303" xr:uid="{EF4F0B2B-8D42-42DD-BDCD-382318130B11}"/>
    <cellStyle name="Įprastas 5 2 3 2 4 6 2" xfId="4896" xr:uid="{3A681AC7-7533-4D57-979B-019B6BD7F098}"/>
    <cellStyle name="Įprastas 5 2 3 2 4 6_8 priedas" xfId="8778" xr:uid="{461E8139-2A93-48BA-A157-5E39F746F9C7}"/>
    <cellStyle name="Įprastas 5 2 3 2 4 7" xfId="6624" xr:uid="{7C15765E-32F3-4102-94E3-59E0E9329FB0}"/>
    <cellStyle name="Įprastas 5 2 3 2 4 8" xfId="3168" xr:uid="{2F6DAFBB-7603-457D-A1F3-1614DF429464}"/>
    <cellStyle name="Įprastas 5 2 3 2 4_8 priedas" xfId="947" xr:uid="{00000000-0005-0000-0000-00004B010000}"/>
    <cellStyle name="Įprastas 5 2 3 2 5" xfId="139" xr:uid="{00000000-0005-0000-0000-00004C010000}"/>
    <cellStyle name="Įprastas 5 2 3 2 5 2" xfId="140" xr:uid="{00000000-0005-0000-0000-00004D010000}"/>
    <cellStyle name="Įprastas 5 2 3 2 5 2 2" xfId="726" xr:uid="{00000000-0005-0000-0000-00004E010000}"/>
    <cellStyle name="Įprastas 5 2 3 2 5 2 2 2" xfId="1542" xr:uid="{C4D71821-0912-4B1D-9D02-52F92BFBFE7C}"/>
    <cellStyle name="Įprastas 5 2 3 2 5 2 2 2 2" xfId="6331" xr:uid="{BC7C3643-DB36-4455-851B-BD6B094E4143}"/>
    <cellStyle name="Įprastas 5 2 3 2 5 2 2 2 3" xfId="8059" xr:uid="{E6191558-3EB1-4D55-A8AB-357DC4EB053C}"/>
    <cellStyle name="Įprastas 5 2 3 2 5 2 2 2 4" xfId="4603" xr:uid="{94EC5655-9F27-4387-AEFF-3333832C1329}"/>
    <cellStyle name="Įprastas 5 2 3 2 5 2 2 2_8 priedas" xfId="8780" xr:uid="{EFD0E9C8-9296-4B45-856E-361B5C5D74F2}"/>
    <cellStyle name="Įprastas 5 2 3 2 5 2 2 3" xfId="2874" xr:uid="{D55269D3-02B4-43D5-902F-115E7D0111D1}"/>
    <cellStyle name="Įprastas 5 2 3 2 5 2 2 3 2" xfId="5467" xr:uid="{186D6021-4A02-4E50-AA54-8AE628B3F244}"/>
    <cellStyle name="Įprastas 5 2 3 2 5 2 2 3_8 priedas" xfId="8781" xr:uid="{D5EECDFA-85A7-44AB-93AA-0D4115FE21B9}"/>
    <cellStyle name="Įprastas 5 2 3 2 5 2 2 4" xfId="7195" xr:uid="{EA9B03DC-68FD-443C-9679-3ED548B8F296}"/>
    <cellStyle name="Įprastas 5 2 3 2 5 2 2 5" xfId="3739" xr:uid="{B0FA6892-1E1F-4119-9565-ECC5F5092191}"/>
    <cellStyle name="Įprastas 5 2 3 2 5 2 2_8 priedas" xfId="8779" xr:uid="{ABE397E6-8C57-4E67-AAA6-9F6DC804DF72}"/>
    <cellStyle name="Įprastas 5 2 3 2 5 2 3" xfId="1543" xr:uid="{87B5E454-F7F4-48D2-9DCF-33407B132A92}"/>
    <cellStyle name="Įprastas 5 2 3 2 5 2 3 2" xfId="5764" xr:uid="{56643803-D497-4E3F-8EFC-D16334F89FF2}"/>
    <cellStyle name="Įprastas 5 2 3 2 5 2 3 3" xfId="7492" xr:uid="{26CD0C20-E72E-4A21-BEA9-F2A1C123976F}"/>
    <cellStyle name="Įprastas 5 2 3 2 5 2 3 4" xfId="4036" xr:uid="{21C5B407-1762-40EF-B75E-892DB5CA42EF}"/>
    <cellStyle name="Įprastas 5 2 3 2 5 2 3_8 priedas" xfId="8782" xr:uid="{4F93E22C-9C7A-497C-A2C2-37944F7B1AC1}"/>
    <cellStyle name="Įprastas 5 2 3 2 5 2 4" xfId="2307" xr:uid="{C388E77A-E5D3-4034-92E8-F0F0485BE7E6}"/>
    <cellStyle name="Įprastas 5 2 3 2 5 2 4 2" xfId="4900" xr:uid="{5039503B-AC00-4B4E-A629-E33B1F29E091}"/>
    <cellStyle name="Įprastas 5 2 3 2 5 2 4_8 priedas" xfId="8783" xr:uid="{3C2B55D2-1CA1-48F9-81CA-A3266F47998B}"/>
    <cellStyle name="Įprastas 5 2 3 2 5 2 5" xfId="6628" xr:uid="{3CD64601-0A61-4214-A35F-424AFBE31FB6}"/>
    <cellStyle name="Įprastas 5 2 3 2 5 2 6" xfId="3172" xr:uid="{6E04D4CE-8FD9-44C1-9C46-3039F1BB54A8}"/>
    <cellStyle name="Įprastas 5 2 3 2 5 2_8 priedas" xfId="1160" xr:uid="{00000000-0005-0000-0000-00004F010000}"/>
    <cellStyle name="Įprastas 5 2 3 2 5 3" xfId="141" xr:uid="{00000000-0005-0000-0000-000050010000}"/>
    <cellStyle name="Įprastas 5 2 3 2 5 3 2" xfId="870" xr:uid="{00000000-0005-0000-0000-000051010000}"/>
    <cellStyle name="Įprastas 5 2 3 2 5 3 2 2" xfId="1544" xr:uid="{256F32C0-4421-4A61-B761-7F98C170B9AB}"/>
    <cellStyle name="Įprastas 5 2 3 2 5 3 2 2 2" xfId="6475" xr:uid="{5BE02A74-9C15-4DC9-88E4-1982931F3C13}"/>
    <cellStyle name="Įprastas 5 2 3 2 5 3 2 2 3" xfId="8203" xr:uid="{55629190-A9CA-4129-932C-CC9830F021F3}"/>
    <cellStyle name="Įprastas 5 2 3 2 5 3 2 2 4" xfId="4747" xr:uid="{B3B2D2EC-8A7B-47D3-B98A-A229250AF8C8}"/>
    <cellStyle name="Įprastas 5 2 3 2 5 3 2 2_8 priedas" xfId="8785" xr:uid="{324C179F-5FEC-45FD-9765-5A247DC5FF99}"/>
    <cellStyle name="Įprastas 5 2 3 2 5 3 2 3" xfId="3018" xr:uid="{3B2D2994-47C0-4B02-82B8-ED87C90CF6B1}"/>
    <cellStyle name="Įprastas 5 2 3 2 5 3 2 3 2" xfId="5611" xr:uid="{BBF801D3-D7C9-4C8E-8C6F-E321AF5DAC2B}"/>
    <cellStyle name="Įprastas 5 2 3 2 5 3 2 3_8 priedas" xfId="8786" xr:uid="{81D60B44-2A51-4D52-A25D-F7C6137CD838}"/>
    <cellStyle name="Įprastas 5 2 3 2 5 3 2 4" xfId="7339" xr:uid="{0EFA61B4-2CCC-499A-AA1A-E6474E7C9715}"/>
    <cellStyle name="Įprastas 5 2 3 2 5 3 2 5" xfId="3883" xr:uid="{F7DF3EB1-D069-4F8E-9920-7F37867023B0}"/>
    <cellStyle name="Įprastas 5 2 3 2 5 3 2_8 priedas" xfId="8784" xr:uid="{594F4AF3-A670-4E8F-869B-E4C71BACC9A9}"/>
    <cellStyle name="Įprastas 5 2 3 2 5 3 3" xfId="1545" xr:uid="{47EFFE9C-55A4-4B9A-A69F-126B813EBC22}"/>
    <cellStyle name="Įprastas 5 2 3 2 5 3 3 2" xfId="5765" xr:uid="{564B8AD8-53F9-4904-9832-FE848850D430}"/>
    <cellStyle name="Įprastas 5 2 3 2 5 3 3 3" xfId="7493" xr:uid="{0C1EB950-6EA3-475A-80F0-01338FE4C088}"/>
    <cellStyle name="Įprastas 5 2 3 2 5 3 3 4" xfId="4037" xr:uid="{5DA9A84E-D9C7-4727-8D4D-A871FA3B8935}"/>
    <cellStyle name="Įprastas 5 2 3 2 5 3 3_8 priedas" xfId="8787" xr:uid="{47BDB088-C58A-455A-BD6D-41C707A2430C}"/>
    <cellStyle name="Įprastas 5 2 3 2 5 3 4" xfId="2308" xr:uid="{07D65686-C4B0-4616-8925-D773A576D3CC}"/>
    <cellStyle name="Įprastas 5 2 3 2 5 3 4 2" xfId="4901" xr:uid="{B6E3EBCA-B360-44F5-8375-0DBBAE307E23}"/>
    <cellStyle name="Įprastas 5 2 3 2 5 3 4_8 priedas" xfId="8788" xr:uid="{3507FA2F-05AF-4E82-B633-EE613869D0E9}"/>
    <cellStyle name="Įprastas 5 2 3 2 5 3 5" xfId="6629" xr:uid="{1CE9CC85-732B-4BF1-9AF7-DCE7CC86416F}"/>
    <cellStyle name="Įprastas 5 2 3 2 5 3 6" xfId="3173" xr:uid="{766C388A-A097-4BC8-90FF-B0B25EB00E31}"/>
    <cellStyle name="Įprastas 5 2 3 2 5 3_8 priedas" xfId="1025" xr:uid="{00000000-0005-0000-0000-000052010000}"/>
    <cellStyle name="Įprastas 5 2 3 2 5 4" xfId="582" xr:uid="{00000000-0005-0000-0000-000053010000}"/>
    <cellStyle name="Įprastas 5 2 3 2 5 4 2" xfId="1546" xr:uid="{0D3581F6-10F3-480C-BEB8-C2BB4F0D867A}"/>
    <cellStyle name="Įprastas 5 2 3 2 5 4 2 2" xfId="6187" xr:uid="{8B6B6471-C060-4124-93A0-6DBACB724BC5}"/>
    <cellStyle name="Įprastas 5 2 3 2 5 4 2 3" xfId="7915" xr:uid="{70D0BA42-57C4-489D-B053-8F62D34C51D9}"/>
    <cellStyle name="Įprastas 5 2 3 2 5 4 2 4" xfId="4459" xr:uid="{E484779D-2152-406C-8E1C-913164EBDF13}"/>
    <cellStyle name="Įprastas 5 2 3 2 5 4 2_8 priedas" xfId="8790" xr:uid="{DFD82293-BF25-4D8B-8551-E6B1FFA4A9AA}"/>
    <cellStyle name="Įprastas 5 2 3 2 5 4 3" xfId="2730" xr:uid="{FE62E43F-EEEA-4821-842B-5244757E8E50}"/>
    <cellStyle name="Įprastas 5 2 3 2 5 4 3 2" xfId="5323" xr:uid="{E1E57648-6E29-4467-B71C-54F2DC098908}"/>
    <cellStyle name="Įprastas 5 2 3 2 5 4 3_8 priedas" xfId="8791" xr:uid="{FFDDC5AE-4538-4DDE-86BD-DF13E3512BED}"/>
    <cellStyle name="Įprastas 5 2 3 2 5 4 4" xfId="7051" xr:uid="{500E4A2B-8E80-4547-A374-1EE4E4F32D21}"/>
    <cellStyle name="Įprastas 5 2 3 2 5 4 5" xfId="3595" xr:uid="{FCC50BD2-A5A2-4C7C-8043-38B671B127E7}"/>
    <cellStyle name="Įprastas 5 2 3 2 5 4_8 priedas" xfId="8789" xr:uid="{7408AE17-A2FC-4704-935C-793779FF2621}"/>
    <cellStyle name="Įprastas 5 2 3 2 5 5" xfId="1547" xr:uid="{6C93B6E6-599D-4771-85FD-6658405E3391}"/>
    <cellStyle name="Įprastas 5 2 3 2 5 5 2" xfId="5763" xr:uid="{7EE1B38A-848C-4C56-9F99-4A1A7B259A45}"/>
    <cellStyle name="Įprastas 5 2 3 2 5 5 3" xfId="7491" xr:uid="{EA1CBF16-AAC4-420E-8C3A-F20459EACB52}"/>
    <cellStyle name="Įprastas 5 2 3 2 5 5 4" xfId="4035" xr:uid="{776F8236-D45B-40A0-9C57-6B8CE4849D57}"/>
    <cellStyle name="Įprastas 5 2 3 2 5 5_8 priedas" xfId="8792" xr:uid="{453BEB21-9245-4D32-B70C-D1B972D92D90}"/>
    <cellStyle name="Įprastas 5 2 3 2 5 6" xfId="2306" xr:uid="{9267F97C-714D-4E3D-9023-D69FDD2F2866}"/>
    <cellStyle name="Įprastas 5 2 3 2 5 6 2" xfId="4899" xr:uid="{8383D14F-2761-49B9-85E3-55CC3698D0AC}"/>
    <cellStyle name="Įprastas 5 2 3 2 5 6_8 priedas" xfId="8793" xr:uid="{7C9010A9-5723-4A38-9ED3-15EC6237D9CB}"/>
    <cellStyle name="Įprastas 5 2 3 2 5 7" xfId="6627" xr:uid="{06194068-745E-454B-A079-EEB5B8362FC9}"/>
    <cellStyle name="Įprastas 5 2 3 2 5 8" xfId="3171" xr:uid="{FC8DC3A4-3CEE-433F-87F5-FFD0CB50C4F2}"/>
    <cellStyle name="Įprastas 5 2 3 2 5_8 priedas" xfId="1297" xr:uid="{00000000-0005-0000-0000-000054010000}"/>
    <cellStyle name="Įprastas 5 2 3 2 6" xfId="142" xr:uid="{00000000-0005-0000-0000-000055010000}"/>
    <cellStyle name="Įprastas 5 2 3 2 6 2" xfId="630" xr:uid="{00000000-0005-0000-0000-000056010000}"/>
    <cellStyle name="Įprastas 5 2 3 2 6 2 2" xfId="1548" xr:uid="{3A9B06F1-369D-42BD-A6F2-EBEFE174E91B}"/>
    <cellStyle name="Įprastas 5 2 3 2 6 2 2 2" xfId="6235" xr:uid="{96D3DAC7-1B37-426F-9EB6-7B1034275D85}"/>
    <cellStyle name="Įprastas 5 2 3 2 6 2 2 3" xfId="7963" xr:uid="{528F1995-E2DD-4916-8CC8-A38379882122}"/>
    <cellStyle name="Įprastas 5 2 3 2 6 2 2 4" xfId="4507" xr:uid="{98A83C05-B034-4115-8028-D7B0BEA69FB2}"/>
    <cellStyle name="Įprastas 5 2 3 2 6 2 2_8 priedas" xfId="8795" xr:uid="{A3754A85-59EA-45B7-B81B-747680C68542}"/>
    <cellStyle name="Įprastas 5 2 3 2 6 2 3" xfId="2778" xr:uid="{E09F87B7-2930-4C75-ABB2-F2D7AD5451B4}"/>
    <cellStyle name="Įprastas 5 2 3 2 6 2 3 2" xfId="5371" xr:uid="{78FA057F-B117-462C-898A-74FA172566E4}"/>
    <cellStyle name="Įprastas 5 2 3 2 6 2 3_8 priedas" xfId="8796" xr:uid="{27D4649A-8B2F-4EC7-B09C-91C2658D04C6}"/>
    <cellStyle name="Įprastas 5 2 3 2 6 2 4" xfId="7099" xr:uid="{B4AFA2D3-BB49-43BB-B7F4-03AC97AD0DB8}"/>
    <cellStyle name="Įprastas 5 2 3 2 6 2 5" xfId="3643" xr:uid="{0DA1FA2C-3997-4F21-A087-F335EAB5F767}"/>
    <cellStyle name="Įprastas 5 2 3 2 6 2_8 priedas" xfId="8794" xr:uid="{6A4F2AE1-DC35-4BAA-849D-9EBFF291F7BC}"/>
    <cellStyle name="Įprastas 5 2 3 2 6 3" xfId="1549" xr:uid="{38370FEE-2DE2-4ED5-A482-85138062B23E}"/>
    <cellStyle name="Įprastas 5 2 3 2 6 3 2" xfId="5766" xr:uid="{218A28B1-42FC-4488-BB3B-B718C9874791}"/>
    <cellStyle name="Įprastas 5 2 3 2 6 3 3" xfId="7494" xr:uid="{828734C7-AF05-44BC-8193-54799098CA81}"/>
    <cellStyle name="Įprastas 5 2 3 2 6 3 4" xfId="4038" xr:uid="{CD88226E-1B73-4BE2-BAD3-D4432F3CC757}"/>
    <cellStyle name="Įprastas 5 2 3 2 6 3_8 priedas" xfId="8797" xr:uid="{A4BFFEAE-0FA9-4F1A-B723-D2E31EA658F2}"/>
    <cellStyle name="Įprastas 5 2 3 2 6 4" xfId="2309" xr:uid="{BEAFF523-A0FA-494B-892E-9C5456077519}"/>
    <cellStyle name="Įprastas 5 2 3 2 6 4 2" xfId="4902" xr:uid="{266FA34F-3941-419D-A5C6-91168BD42989}"/>
    <cellStyle name="Įprastas 5 2 3 2 6 4_8 priedas" xfId="8798" xr:uid="{40999DAA-A4C5-4B03-8BD2-2EC9836AC79A}"/>
    <cellStyle name="Įprastas 5 2 3 2 6 5" xfId="6630" xr:uid="{CAF88954-EEA0-4BB8-B8B8-1EDBC079F219}"/>
    <cellStyle name="Įprastas 5 2 3 2 6 6" xfId="3174" xr:uid="{2D22DD2D-216E-471B-A85A-35AD72E31697}"/>
    <cellStyle name="Įprastas 5 2 3 2 6_8 priedas" xfId="1250" xr:uid="{00000000-0005-0000-0000-000057010000}"/>
    <cellStyle name="Įprastas 5 2 3 2 7" xfId="143" xr:uid="{00000000-0005-0000-0000-000058010000}"/>
    <cellStyle name="Įprastas 5 2 3 2 7 2" xfId="774" xr:uid="{00000000-0005-0000-0000-000059010000}"/>
    <cellStyle name="Įprastas 5 2 3 2 7 2 2" xfId="1550" xr:uid="{7BE4A6AF-6AEC-4B10-82A7-7FC6A816D86A}"/>
    <cellStyle name="Įprastas 5 2 3 2 7 2 2 2" xfId="6379" xr:uid="{85B650C4-6507-456A-9CFC-2422803B7945}"/>
    <cellStyle name="Įprastas 5 2 3 2 7 2 2 3" xfId="8107" xr:uid="{668D74CE-CEC7-4949-BFF1-6A6EEDC6E984}"/>
    <cellStyle name="Įprastas 5 2 3 2 7 2 2 4" xfId="4651" xr:uid="{AE8BDD48-878B-48CD-8683-F8815D93879A}"/>
    <cellStyle name="Įprastas 5 2 3 2 7 2 2_8 priedas" xfId="8800" xr:uid="{2908D79B-DD53-456E-AE4A-362DC9E8FF32}"/>
    <cellStyle name="Įprastas 5 2 3 2 7 2 3" xfId="2922" xr:uid="{310AAD8D-D995-4167-81D5-0C8C784AB81B}"/>
    <cellStyle name="Įprastas 5 2 3 2 7 2 3 2" xfId="5515" xr:uid="{C5AAFBDD-3BB2-4AE4-93DD-FEB1933726C5}"/>
    <cellStyle name="Įprastas 5 2 3 2 7 2 3_8 priedas" xfId="8801" xr:uid="{F68D9EE4-5F65-450F-B5E8-0799938775A4}"/>
    <cellStyle name="Įprastas 5 2 3 2 7 2 4" xfId="7243" xr:uid="{D69A2843-E81D-4F01-8E5E-603112B85EF3}"/>
    <cellStyle name="Įprastas 5 2 3 2 7 2 5" xfId="3787" xr:uid="{EDFFD584-13F9-4CD8-869E-25310F19A4DF}"/>
    <cellStyle name="Įprastas 5 2 3 2 7 2_8 priedas" xfId="8799" xr:uid="{B598DCE3-3BC6-40B6-8E6A-08D14FC6C5AD}"/>
    <cellStyle name="Įprastas 5 2 3 2 7 3" xfId="1551" xr:uid="{72C91A69-E9CB-44F2-9763-BC4327BFDA68}"/>
    <cellStyle name="Įprastas 5 2 3 2 7 3 2" xfId="5767" xr:uid="{59A0BE68-2256-467B-BCC0-6B102CE7F633}"/>
    <cellStyle name="Įprastas 5 2 3 2 7 3 3" xfId="7495" xr:uid="{1ACBCE4D-14D1-4449-B558-537A967A1172}"/>
    <cellStyle name="Įprastas 5 2 3 2 7 3 4" xfId="4039" xr:uid="{AF4FDA43-2F50-4E68-A1F3-159C592AEAF8}"/>
    <cellStyle name="Įprastas 5 2 3 2 7 3_8 priedas" xfId="8802" xr:uid="{8598FDEA-2570-45B6-96DB-CCFC682A603A}"/>
    <cellStyle name="Įprastas 5 2 3 2 7 4" xfId="2310" xr:uid="{C568284D-DFAA-417B-9060-49E77969EE97}"/>
    <cellStyle name="Įprastas 5 2 3 2 7 4 2" xfId="4903" xr:uid="{4EEE5276-015C-471F-8473-F608D38A38A2}"/>
    <cellStyle name="Įprastas 5 2 3 2 7 4_8 priedas" xfId="8803" xr:uid="{15EBA4E4-7B16-469C-8994-38E162F25D79}"/>
    <cellStyle name="Įprastas 5 2 3 2 7 5" xfId="6631" xr:uid="{C40E2DAB-CC70-47C1-B52D-B5D85756C86B}"/>
    <cellStyle name="Įprastas 5 2 3 2 7 6" xfId="3175" xr:uid="{AED03EAE-256D-469A-91EC-784E02434F2E}"/>
    <cellStyle name="Įprastas 5 2 3 2 7_8 priedas" xfId="1116" xr:uid="{00000000-0005-0000-0000-00005A010000}"/>
    <cellStyle name="Įprastas 5 2 3 2 8" xfId="486" xr:uid="{00000000-0005-0000-0000-00005B010000}"/>
    <cellStyle name="Įprastas 5 2 3 2 8 2" xfId="1552" xr:uid="{6AAFD54F-1E9D-4BC6-B2C9-546C9DB6E15E}"/>
    <cellStyle name="Įprastas 5 2 3 2 8 2 2" xfId="6091" xr:uid="{FB23A44E-8AC0-41A9-A9C3-7A4FEEBA0CAB}"/>
    <cellStyle name="Įprastas 5 2 3 2 8 2 3" xfId="7819" xr:uid="{9D7450DE-8984-43FA-9035-36D747C5A567}"/>
    <cellStyle name="Įprastas 5 2 3 2 8 2 4" xfId="4363" xr:uid="{E0E8D172-933F-437F-967D-8D204D8078A3}"/>
    <cellStyle name="Įprastas 5 2 3 2 8 2_8 priedas" xfId="8805" xr:uid="{34E33975-15BD-4576-BC7E-9B88E0717E91}"/>
    <cellStyle name="Įprastas 5 2 3 2 8 3" xfId="2634" xr:uid="{30193D70-4875-4EDE-8C90-1D5DEC81284E}"/>
    <cellStyle name="Įprastas 5 2 3 2 8 3 2" xfId="5227" xr:uid="{5F437029-440B-4866-B3A7-7CA4BE1B72A4}"/>
    <cellStyle name="Įprastas 5 2 3 2 8 3_8 priedas" xfId="8806" xr:uid="{D3C38725-DF74-4655-AFF1-7FE3D3753E9E}"/>
    <cellStyle name="Įprastas 5 2 3 2 8 4" xfId="6955" xr:uid="{D3700851-1E1D-40AD-87CF-20AD3B5C2504}"/>
    <cellStyle name="Įprastas 5 2 3 2 8 5" xfId="3499" xr:uid="{9003A9E1-0F4C-4C5C-9AE7-23534FD05BC7}"/>
    <cellStyle name="Įprastas 5 2 3 2 8_8 priedas" xfId="8804" xr:uid="{611A896D-9160-4ACC-9182-EA794FE239DA}"/>
    <cellStyle name="Įprastas 5 2 3 2 9" xfId="1553" xr:uid="{34403DCE-21D3-4EA7-9C98-D07F75719DD3}"/>
    <cellStyle name="Įprastas 5 2 3 2 9 2" xfId="5659" xr:uid="{495A6306-2B75-4F18-B869-6D74FEE4439D}"/>
    <cellStyle name="Įprastas 5 2 3 2 9 3" xfId="7387" xr:uid="{AC5A0213-0C13-4EAA-81CF-05AEBFF153FD}"/>
    <cellStyle name="Įprastas 5 2 3 2 9 4" xfId="3931" xr:uid="{6C38E82A-260D-432D-9D6D-2D7508A18FB0}"/>
    <cellStyle name="Įprastas 5 2 3 2 9_8 priedas" xfId="8807" xr:uid="{B7FD9659-A1C4-4E18-9F9F-F6978E04627A}"/>
    <cellStyle name="Įprastas 5 2 3 2_8 priedas" xfId="108" xr:uid="{00000000-0005-0000-0000-00005C010000}"/>
    <cellStyle name="Įprastas 5 2 3 3" xfId="144" xr:uid="{00000000-0005-0000-0000-00005D010000}"/>
    <cellStyle name="Įprastas 5 2 3 3 10" xfId="6632" xr:uid="{36750F02-C463-456B-BC8F-827527E9BCD0}"/>
    <cellStyle name="Įprastas 5 2 3 3 11" xfId="3176" xr:uid="{628BE91C-03F9-4195-AE5B-4454F51CFA83}"/>
    <cellStyle name="Įprastas 5 2 3 3 2" xfId="145" xr:uid="{00000000-0005-0000-0000-00005E010000}"/>
    <cellStyle name="Įprastas 5 2 3 3 2 10" xfId="3177" xr:uid="{36A8E7C5-62E7-45F1-8BD8-A6D15B4CE646}"/>
    <cellStyle name="Įprastas 5 2 3 3 2 2" xfId="146" xr:uid="{00000000-0005-0000-0000-00005F010000}"/>
    <cellStyle name="Įprastas 5 2 3 3 2 2 2" xfId="147" xr:uid="{00000000-0005-0000-0000-000060010000}"/>
    <cellStyle name="Įprastas 5 2 3 3 2 2 2 2" xfId="706" xr:uid="{00000000-0005-0000-0000-000061010000}"/>
    <cellStyle name="Įprastas 5 2 3 3 2 2 2 2 2" xfId="1554" xr:uid="{7BEC002E-B146-435C-A351-A299991E8FCD}"/>
    <cellStyle name="Įprastas 5 2 3 3 2 2 2 2 2 2" xfId="6311" xr:uid="{A6C31086-5F5B-42A4-9BAA-A4D5EE7C8135}"/>
    <cellStyle name="Įprastas 5 2 3 3 2 2 2 2 2 3" xfId="8039" xr:uid="{A755385B-BB69-4C77-AF56-25077CEB061B}"/>
    <cellStyle name="Įprastas 5 2 3 3 2 2 2 2 2 4" xfId="4583" xr:uid="{DEBCE930-31E7-4026-B8AB-8A567F6119CE}"/>
    <cellStyle name="Įprastas 5 2 3 3 2 2 2 2 2_8 priedas" xfId="8809" xr:uid="{2C10A29F-E96C-4528-95C6-560241E50745}"/>
    <cellStyle name="Įprastas 5 2 3 3 2 2 2 2 3" xfId="2854" xr:uid="{C4B294C4-8AD6-4CD0-A94A-01DAD6F77C8A}"/>
    <cellStyle name="Įprastas 5 2 3 3 2 2 2 2 3 2" xfId="5447" xr:uid="{B28676C3-B08A-49BF-A29B-10D2E5C9444E}"/>
    <cellStyle name="Įprastas 5 2 3 3 2 2 2 2 3_8 priedas" xfId="8810" xr:uid="{DB05BBBB-ADA8-4B70-8960-7188A8F165EF}"/>
    <cellStyle name="Įprastas 5 2 3 3 2 2 2 2 4" xfId="7175" xr:uid="{595D6C78-F23C-41B7-84C6-F7584B8BFF1F}"/>
    <cellStyle name="Įprastas 5 2 3 3 2 2 2 2 5" xfId="3719" xr:uid="{B58805D4-2520-417C-992D-7AFA189A6F9B}"/>
    <cellStyle name="Įprastas 5 2 3 3 2 2 2 2_8 priedas" xfId="8808" xr:uid="{EB47EA56-3BC1-437A-8707-18D6BD41CEA3}"/>
    <cellStyle name="Įprastas 5 2 3 3 2 2 2 3" xfId="1555" xr:uid="{904817B5-A978-4C31-B701-2A77D7C8C456}"/>
    <cellStyle name="Įprastas 5 2 3 3 2 2 2 3 2" xfId="5771" xr:uid="{4B8DF68A-9550-43D1-8DBD-80D0C186A2D3}"/>
    <cellStyle name="Įprastas 5 2 3 3 2 2 2 3 3" xfId="7499" xr:uid="{B50A9CB9-B9C0-45BE-95F9-68D2B21E66B0}"/>
    <cellStyle name="Įprastas 5 2 3 3 2 2 2 3 4" xfId="4043" xr:uid="{3A2626E2-A42F-44B2-BC0E-53F9471CAF40}"/>
    <cellStyle name="Įprastas 5 2 3 3 2 2 2 3_8 priedas" xfId="8811" xr:uid="{71E29C6B-DD56-4189-B6E3-E7D7AA65FC89}"/>
    <cellStyle name="Įprastas 5 2 3 3 2 2 2 4" xfId="2314" xr:uid="{429BDA04-D9F0-459A-8553-AAD153A1A216}"/>
    <cellStyle name="Įprastas 5 2 3 3 2 2 2 4 2" xfId="4907" xr:uid="{F07E2795-127B-4241-8850-7A34A468866B}"/>
    <cellStyle name="Įprastas 5 2 3 3 2 2 2 4_8 priedas" xfId="8812" xr:uid="{F718E4AD-3881-4653-A145-4A776FB18C10}"/>
    <cellStyle name="Įprastas 5 2 3 3 2 2 2 5" xfId="6635" xr:uid="{7E8A4A23-FEDB-450E-AA48-53D40B46D048}"/>
    <cellStyle name="Įprastas 5 2 3 3 2 2 2 6" xfId="3179" xr:uid="{9EE0A140-75C8-40FF-8A40-7A5CA13D4029}"/>
    <cellStyle name="Įprastas 5 2 3 3 2 2 2_8 priedas" xfId="1184" xr:uid="{00000000-0005-0000-0000-000062010000}"/>
    <cellStyle name="Įprastas 5 2 3 3 2 2 3" xfId="148" xr:uid="{00000000-0005-0000-0000-000063010000}"/>
    <cellStyle name="Įprastas 5 2 3 3 2 2 3 2" xfId="850" xr:uid="{00000000-0005-0000-0000-000064010000}"/>
    <cellStyle name="Įprastas 5 2 3 3 2 2 3 2 2" xfId="1556" xr:uid="{A134D7BB-BBA3-478A-8671-4B59B9185150}"/>
    <cellStyle name="Įprastas 5 2 3 3 2 2 3 2 2 2" xfId="6455" xr:uid="{2091BB45-0D69-46DC-ADCA-D7B16880E3E5}"/>
    <cellStyle name="Įprastas 5 2 3 3 2 2 3 2 2 3" xfId="8183" xr:uid="{37D6C222-CF7B-4F1F-91C8-688EDABC3947}"/>
    <cellStyle name="Įprastas 5 2 3 3 2 2 3 2 2 4" xfId="4727" xr:uid="{C5B023F1-A5B9-4460-A110-161C268405B5}"/>
    <cellStyle name="Įprastas 5 2 3 3 2 2 3 2 2_8 priedas" xfId="8814" xr:uid="{EB0A2790-3097-410C-BC18-E3E3C4F591DD}"/>
    <cellStyle name="Įprastas 5 2 3 3 2 2 3 2 3" xfId="2998" xr:uid="{DA8D33A3-FC4D-4C03-B4F6-4C8B815D6123}"/>
    <cellStyle name="Įprastas 5 2 3 3 2 2 3 2 3 2" xfId="5591" xr:uid="{65049EE7-6E12-4405-899E-881E2109D7F6}"/>
    <cellStyle name="Įprastas 5 2 3 3 2 2 3 2 3_8 priedas" xfId="8815" xr:uid="{19D5397A-AA24-4DA7-811E-1C7845F7F709}"/>
    <cellStyle name="Įprastas 5 2 3 3 2 2 3 2 4" xfId="7319" xr:uid="{8A09E7BB-7BB4-4572-B813-EB291B86285B}"/>
    <cellStyle name="Įprastas 5 2 3 3 2 2 3 2 5" xfId="3863" xr:uid="{E6F51701-C220-4771-ACC1-DB61B6A14541}"/>
    <cellStyle name="Įprastas 5 2 3 3 2 2 3 2_8 priedas" xfId="8813" xr:uid="{FE6EF951-17A5-4040-85B5-7CFBB16236CE}"/>
    <cellStyle name="Įprastas 5 2 3 3 2 2 3 3" xfId="1557" xr:uid="{4F420879-3472-4726-A2B7-E2F18C8FC41B}"/>
    <cellStyle name="Įprastas 5 2 3 3 2 2 3 3 2" xfId="5772" xr:uid="{7C3A46C9-05E6-4E4A-96FF-F832164C5558}"/>
    <cellStyle name="Įprastas 5 2 3 3 2 2 3 3 3" xfId="7500" xr:uid="{D3FC3162-254E-401C-8878-2A339C02CB9D}"/>
    <cellStyle name="Įprastas 5 2 3 3 2 2 3 3 4" xfId="4044" xr:uid="{5ECC2BC9-3AB5-402B-92DC-2520AA94F98C}"/>
    <cellStyle name="Įprastas 5 2 3 3 2 2 3 3_8 priedas" xfId="8816" xr:uid="{09E42869-DEE3-4A1A-A76F-D3223F176646}"/>
    <cellStyle name="Įprastas 5 2 3 3 2 2 3 4" xfId="2315" xr:uid="{FE9C6DF2-2967-4647-9820-1B46FC77430A}"/>
    <cellStyle name="Įprastas 5 2 3 3 2 2 3 4 2" xfId="4908" xr:uid="{0A85BF35-9866-4F1C-96E3-7CBF7906E198}"/>
    <cellStyle name="Įprastas 5 2 3 3 2 2 3 4_8 priedas" xfId="8817" xr:uid="{3716C3F4-A005-47BA-9748-326A695FCEEC}"/>
    <cellStyle name="Įprastas 5 2 3 3 2 2 3 5" xfId="6636" xr:uid="{E5C7615D-16CA-472F-8534-76D9E63CF7EE}"/>
    <cellStyle name="Įprastas 5 2 3 3 2 2 3 6" xfId="3180" xr:uid="{88081728-3884-4666-8D88-DC7DFD951EE2}"/>
    <cellStyle name="Įprastas 5 2 3 3 2 2 3_8 priedas" xfId="1048" xr:uid="{00000000-0005-0000-0000-000065010000}"/>
    <cellStyle name="Įprastas 5 2 3 3 2 2 4" xfId="562" xr:uid="{00000000-0005-0000-0000-000066010000}"/>
    <cellStyle name="Įprastas 5 2 3 3 2 2 4 2" xfId="1558" xr:uid="{C9390CDD-01EB-42FC-A05C-6E36A3A3876C}"/>
    <cellStyle name="Įprastas 5 2 3 3 2 2 4 2 2" xfId="6167" xr:uid="{CA29E41A-7F01-4A2A-BFB1-A047DDF65D41}"/>
    <cellStyle name="Įprastas 5 2 3 3 2 2 4 2 3" xfId="7895" xr:uid="{0A910C82-092A-455D-8D62-164D85D10D73}"/>
    <cellStyle name="Įprastas 5 2 3 3 2 2 4 2 4" xfId="4439" xr:uid="{DF8543D8-46FB-4F30-ACBE-1BDEA3A75567}"/>
    <cellStyle name="Įprastas 5 2 3 3 2 2 4 2_8 priedas" xfId="8819" xr:uid="{7903487A-BA38-46AC-B9DD-7E9002CD9DDB}"/>
    <cellStyle name="Įprastas 5 2 3 3 2 2 4 3" xfId="2710" xr:uid="{8B4CEA16-9E5B-4560-A33C-B46176302DD5}"/>
    <cellStyle name="Įprastas 5 2 3 3 2 2 4 3 2" xfId="5303" xr:uid="{778660EA-C639-4D07-9CC4-F47EDDC5F895}"/>
    <cellStyle name="Įprastas 5 2 3 3 2 2 4 3_8 priedas" xfId="8820" xr:uid="{5CECBA87-1D8A-4397-BE25-CDF785D8650B}"/>
    <cellStyle name="Įprastas 5 2 3 3 2 2 4 4" xfId="7031" xr:uid="{F354EB32-26A3-4B96-BE4B-69842E98E944}"/>
    <cellStyle name="Įprastas 5 2 3 3 2 2 4 5" xfId="3575" xr:uid="{7CEC5CC8-056D-4551-8D22-698D7BAEE7FB}"/>
    <cellStyle name="Įprastas 5 2 3 3 2 2 4_8 priedas" xfId="8818" xr:uid="{46903461-1150-4C1C-911F-883CD3C3F6AF}"/>
    <cellStyle name="Įprastas 5 2 3 3 2 2 5" xfId="1559" xr:uid="{8C5592F3-98CF-4B77-8D22-B419DBE8FBCB}"/>
    <cellStyle name="Įprastas 5 2 3 3 2 2 5 2" xfId="5770" xr:uid="{DD68F878-15E5-491A-A7DA-7EB4DDECEF12}"/>
    <cellStyle name="Įprastas 5 2 3 3 2 2 5 3" xfId="7498" xr:uid="{22A0D3F6-FCCA-4F12-8895-4DF1E62B651C}"/>
    <cellStyle name="Įprastas 5 2 3 3 2 2 5 4" xfId="4042" xr:uid="{749DD947-FE35-48CF-915F-6F25A039FD83}"/>
    <cellStyle name="Įprastas 5 2 3 3 2 2 5_8 priedas" xfId="8821" xr:uid="{F4D8B1C3-CFBE-4F2B-A87F-72BC9340CB78}"/>
    <cellStyle name="Įprastas 5 2 3 3 2 2 6" xfId="2313" xr:uid="{0502C766-50D7-4B35-9EAE-795B89D51620}"/>
    <cellStyle name="Įprastas 5 2 3 3 2 2 6 2" xfId="4906" xr:uid="{CB5C62A5-D89C-4280-A613-84DD40C68F06}"/>
    <cellStyle name="Įprastas 5 2 3 3 2 2 6_8 priedas" xfId="8822" xr:uid="{285D9559-DD1C-4E13-BD90-6EA9AE136474}"/>
    <cellStyle name="Įprastas 5 2 3 3 2 2 7" xfId="6634" xr:uid="{72B63879-5C94-4BFF-BE95-B8165D38754B}"/>
    <cellStyle name="Įprastas 5 2 3 3 2 2 8" xfId="3178" xr:uid="{8425352D-5D9C-41A8-B8AA-106CBB56405A}"/>
    <cellStyle name="Įprastas 5 2 3 3 2 2_8 priedas" xfId="1321" xr:uid="{00000000-0005-0000-0000-000067010000}"/>
    <cellStyle name="Įprastas 5 2 3 3 2 3" xfId="149" xr:uid="{00000000-0005-0000-0000-000068010000}"/>
    <cellStyle name="Įprastas 5 2 3 3 2 3 2" xfId="150" xr:uid="{00000000-0005-0000-0000-000069010000}"/>
    <cellStyle name="Įprastas 5 2 3 3 2 3 2 2" xfId="754" xr:uid="{00000000-0005-0000-0000-00006A010000}"/>
    <cellStyle name="Įprastas 5 2 3 3 2 3 2 2 2" xfId="1560" xr:uid="{47FE8D39-5AE7-4A09-AA80-80F272C766F2}"/>
    <cellStyle name="Įprastas 5 2 3 3 2 3 2 2 2 2" xfId="6359" xr:uid="{86EB379B-D019-4418-A1B7-DE1514A655BC}"/>
    <cellStyle name="Įprastas 5 2 3 3 2 3 2 2 2 3" xfId="8087" xr:uid="{F860EAB5-EC78-4E48-9F04-82FE4C91BC86}"/>
    <cellStyle name="Įprastas 5 2 3 3 2 3 2 2 2 4" xfId="4631" xr:uid="{027C1EB2-42D0-47FD-9C12-313A618BF5FE}"/>
    <cellStyle name="Įprastas 5 2 3 3 2 3 2 2 2_8 priedas" xfId="8824" xr:uid="{BC860E33-04F8-4753-A90F-7CB04A71B157}"/>
    <cellStyle name="Įprastas 5 2 3 3 2 3 2 2 3" xfId="2902" xr:uid="{0A1B159A-02C4-47E3-9533-7E45DC30225F}"/>
    <cellStyle name="Įprastas 5 2 3 3 2 3 2 2 3 2" xfId="5495" xr:uid="{A6B092CF-D88C-4A77-BB44-2955BE422474}"/>
    <cellStyle name="Įprastas 5 2 3 3 2 3 2 2 3_8 priedas" xfId="8825" xr:uid="{B075C24F-F704-45A2-822D-1BD873868F27}"/>
    <cellStyle name="Įprastas 5 2 3 3 2 3 2 2 4" xfId="7223" xr:uid="{0CEA58EA-304D-4365-AB52-FAA27D9868CE}"/>
    <cellStyle name="Įprastas 5 2 3 3 2 3 2 2 5" xfId="3767" xr:uid="{54EF1D04-60CA-44C0-A668-4D6A8A5E1192}"/>
    <cellStyle name="Įprastas 5 2 3 3 2 3 2 2_8 priedas" xfId="8823" xr:uid="{6736279E-4EE4-4BFA-AA94-3F5AD1668C47}"/>
    <cellStyle name="Įprastas 5 2 3 3 2 3 2 3" xfId="1561" xr:uid="{D57A5153-AE97-4127-B1CA-BF98A020D7FE}"/>
    <cellStyle name="Įprastas 5 2 3 3 2 3 2 3 2" xfId="5774" xr:uid="{95284128-890B-4C5F-8609-26EA0444AE8A}"/>
    <cellStyle name="Įprastas 5 2 3 3 2 3 2 3 3" xfId="7502" xr:uid="{CE7D3154-3529-452D-A24D-89C5076040B5}"/>
    <cellStyle name="Įprastas 5 2 3 3 2 3 2 3 4" xfId="4046" xr:uid="{17431A43-27BF-4B3C-A741-0AF5FC556023}"/>
    <cellStyle name="Įprastas 5 2 3 3 2 3 2 3_8 priedas" xfId="8826" xr:uid="{90F1BD24-4D4A-470C-B0D6-18744AF63A25}"/>
    <cellStyle name="Įprastas 5 2 3 3 2 3 2 4" xfId="2317" xr:uid="{002CCE83-67B8-400F-ACE6-4B1436E8DD4C}"/>
    <cellStyle name="Įprastas 5 2 3 3 2 3 2 4 2" xfId="4910" xr:uid="{DAA280D4-B879-4E81-B723-FA1923FA84AD}"/>
    <cellStyle name="Įprastas 5 2 3 3 2 3 2 4_8 priedas" xfId="8827" xr:uid="{66F2776E-4210-4579-92E5-71CC0FCA4E14}"/>
    <cellStyle name="Įprastas 5 2 3 3 2 3 2 5" xfId="6638" xr:uid="{5C1ED93A-CCEC-454B-890E-F9E45B06A532}"/>
    <cellStyle name="Įprastas 5 2 3 3 2 3 2 6" xfId="3182" xr:uid="{DC4D52B7-B1C6-48AF-A7DB-44D929AEF56F}"/>
    <cellStyle name="Įprastas 5 2 3 3 2 3 2_8 priedas" xfId="1136" xr:uid="{00000000-0005-0000-0000-00006B010000}"/>
    <cellStyle name="Įprastas 5 2 3 3 2 3 3" xfId="151" xr:uid="{00000000-0005-0000-0000-00006C010000}"/>
    <cellStyle name="Įprastas 5 2 3 3 2 3 3 2" xfId="898" xr:uid="{00000000-0005-0000-0000-00006D010000}"/>
    <cellStyle name="Įprastas 5 2 3 3 2 3 3 2 2" xfId="1562" xr:uid="{5671F7FF-ABB2-4EF7-9351-333C433FE57C}"/>
    <cellStyle name="Įprastas 5 2 3 3 2 3 3 2 2 2" xfId="6503" xr:uid="{419041A0-31B9-41F4-B77E-B29C06F7835C}"/>
    <cellStyle name="Įprastas 5 2 3 3 2 3 3 2 2 3" xfId="8231" xr:uid="{FE12A9F5-324D-420F-82E2-B0583C7BCE1F}"/>
    <cellStyle name="Įprastas 5 2 3 3 2 3 3 2 2 4" xfId="4775" xr:uid="{A9BAED96-4B3B-46E2-9E80-D888917CFD2D}"/>
    <cellStyle name="Įprastas 5 2 3 3 2 3 3 2 2_8 priedas" xfId="8829" xr:uid="{C5EBE6B3-9479-46BB-A2A1-4B5E3165D931}"/>
    <cellStyle name="Įprastas 5 2 3 3 2 3 3 2 3" xfId="3046" xr:uid="{9829A0AA-DF4D-4C0D-A74F-B000A359379E}"/>
    <cellStyle name="Įprastas 5 2 3 3 2 3 3 2 3 2" xfId="5639" xr:uid="{1FA48D02-357F-4E75-9DD4-E1470D35163D}"/>
    <cellStyle name="Įprastas 5 2 3 3 2 3 3 2 3_8 priedas" xfId="8830" xr:uid="{87F275F9-5ED0-486C-B4CE-D6F485585FDE}"/>
    <cellStyle name="Įprastas 5 2 3 3 2 3 3 2 4" xfId="7367" xr:uid="{83016BAB-66EB-4099-A74F-E241CD0667EA}"/>
    <cellStyle name="Įprastas 5 2 3 3 2 3 3 2 5" xfId="3911" xr:uid="{8853E916-09F2-456E-B66D-D7EC99EA3D5A}"/>
    <cellStyle name="Įprastas 5 2 3 3 2 3 3 2_8 priedas" xfId="8828" xr:uid="{497DC685-5208-4893-9701-AB06CF213DF0}"/>
    <cellStyle name="Įprastas 5 2 3 3 2 3 3 3" xfId="1563" xr:uid="{D5D11C58-DC26-4451-A44D-BFCBC0CDF792}"/>
    <cellStyle name="Įprastas 5 2 3 3 2 3 3 3 2" xfId="5775" xr:uid="{E367D848-BE95-4DD6-94F2-0171D5B6C71F}"/>
    <cellStyle name="Įprastas 5 2 3 3 2 3 3 3 3" xfId="7503" xr:uid="{3218C126-C1C2-4484-8E60-DF56385C05C9}"/>
    <cellStyle name="Įprastas 5 2 3 3 2 3 3 3 4" xfId="4047" xr:uid="{AE4B3582-97B4-45C1-83F7-CB22607543AB}"/>
    <cellStyle name="Įprastas 5 2 3 3 2 3 3 3_8 priedas" xfId="8831" xr:uid="{7FB98862-84FC-483E-862E-1A4533E4DF81}"/>
    <cellStyle name="Įprastas 5 2 3 3 2 3 3 4" xfId="2318" xr:uid="{3A028326-9DE0-4E67-8A7D-716C07EA30E3}"/>
    <cellStyle name="Įprastas 5 2 3 3 2 3 3 4 2" xfId="4911" xr:uid="{BB018786-109D-4714-AF58-1F6E5E93EC25}"/>
    <cellStyle name="Įprastas 5 2 3 3 2 3 3 4_8 priedas" xfId="8832" xr:uid="{F0DAA642-3516-4B02-A860-D1567554060D}"/>
    <cellStyle name="Įprastas 5 2 3 3 2 3 3 5" xfId="6639" xr:uid="{87C7E3C6-8B55-48FD-BBBC-C54AC334C9D1}"/>
    <cellStyle name="Įprastas 5 2 3 3 2 3 3 6" xfId="3183" xr:uid="{6D154EE3-D83A-48FA-9191-736FBD6C839A}"/>
    <cellStyle name="Įprastas 5 2 3 3 2 3 3_8 priedas" xfId="1000" xr:uid="{00000000-0005-0000-0000-00006E010000}"/>
    <cellStyle name="Įprastas 5 2 3 3 2 3 4" xfId="610" xr:uid="{00000000-0005-0000-0000-00006F010000}"/>
    <cellStyle name="Įprastas 5 2 3 3 2 3 4 2" xfId="1564" xr:uid="{1F7563ED-B9C9-45EB-93C5-FDEE754CBE87}"/>
    <cellStyle name="Įprastas 5 2 3 3 2 3 4 2 2" xfId="6215" xr:uid="{1B683B7B-73A7-4225-B5B1-838AA62CE120}"/>
    <cellStyle name="Įprastas 5 2 3 3 2 3 4 2 3" xfId="7943" xr:uid="{5651230C-1CBC-4527-85E3-41AEBB67542B}"/>
    <cellStyle name="Įprastas 5 2 3 3 2 3 4 2 4" xfId="4487" xr:uid="{353D2738-339E-4241-BC3C-E2238B21193F}"/>
    <cellStyle name="Įprastas 5 2 3 3 2 3 4 2_8 priedas" xfId="8834" xr:uid="{E42EF9F6-D492-4611-8CB9-2FEADE06EB7C}"/>
    <cellStyle name="Įprastas 5 2 3 3 2 3 4 3" xfId="2758" xr:uid="{2B0869B8-A84A-47E5-AE08-EA2E9143BBEE}"/>
    <cellStyle name="Įprastas 5 2 3 3 2 3 4 3 2" xfId="5351" xr:uid="{EA69F00E-2F88-4471-A2B7-F37F03396203}"/>
    <cellStyle name="Įprastas 5 2 3 3 2 3 4 3_8 priedas" xfId="8835" xr:uid="{ED1866BD-FBF8-440D-B634-BC331A6DC89B}"/>
    <cellStyle name="Įprastas 5 2 3 3 2 3 4 4" xfId="7079" xr:uid="{1C9A0CCE-B699-436F-84E2-11C53ADACF94}"/>
    <cellStyle name="Įprastas 5 2 3 3 2 3 4 5" xfId="3623" xr:uid="{127DC803-2C64-4D7B-ADEB-21CB5F799E77}"/>
    <cellStyle name="Įprastas 5 2 3 3 2 3 4_8 priedas" xfId="8833" xr:uid="{5ECED349-39B6-4AFB-AF9C-A224F185397F}"/>
    <cellStyle name="Įprastas 5 2 3 3 2 3 5" xfId="1565" xr:uid="{3F5EC323-EE68-422B-AB39-74DB63C5D3B5}"/>
    <cellStyle name="Įprastas 5 2 3 3 2 3 5 2" xfId="5773" xr:uid="{EE2F4574-33ED-489E-A181-BE87A5AA3385}"/>
    <cellStyle name="Įprastas 5 2 3 3 2 3 5 3" xfId="7501" xr:uid="{D94DF526-512A-45A8-8640-051EACA49134}"/>
    <cellStyle name="Įprastas 5 2 3 3 2 3 5 4" xfId="4045" xr:uid="{8F78FB8C-9CFD-45E5-91A2-5F0857B3F9CA}"/>
    <cellStyle name="Įprastas 5 2 3 3 2 3 5_8 priedas" xfId="8836" xr:uid="{E51759A2-F61B-47C5-B2A2-2E0E3F6ED201}"/>
    <cellStyle name="Įprastas 5 2 3 3 2 3 6" xfId="2316" xr:uid="{55F388B1-22DA-4E51-B123-6F6348DB82BD}"/>
    <cellStyle name="Įprastas 5 2 3 3 2 3 6 2" xfId="4909" xr:uid="{695F06FA-A696-445B-9DF1-9CFB4A0650AF}"/>
    <cellStyle name="Įprastas 5 2 3 3 2 3 6_8 priedas" xfId="8837" xr:uid="{61515D77-F03F-43C2-AA54-BD6736BF734C}"/>
    <cellStyle name="Įprastas 5 2 3 3 2 3 7" xfId="6637" xr:uid="{B0559D2D-263D-4521-A513-FB19FD257BA0}"/>
    <cellStyle name="Įprastas 5 2 3 3 2 3 8" xfId="3181" xr:uid="{41236DB7-0FD4-48E4-B50F-EC940261F8EE}"/>
    <cellStyle name="Įprastas 5 2 3 3 2 3_8 priedas" xfId="1272" xr:uid="{00000000-0005-0000-0000-000070010000}"/>
    <cellStyle name="Įprastas 5 2 3 3 2 4" xfId="152" xr:uid="{00000000-0005-0000-0000-000071010000}"/>
    <cellStyle name="Įprastas 5 2 3 3 2 4 2" xfId="658" xr:uid="{00000000-0005-0000-0000-000072010000}"/>
    <cellStyle name="Įprastas 5 2 3 3 2 4 2 2" xfId="1566" xr:uid="{CDF5BEF2-16DF-482F-A97A-C6AF27E3D098}"/>
    <cellStyle name="Įprastas 5 2 3 3 2 4 2 2 2" xfId="6263" xr:uid="{A152565C-7677-4868-9EB8-B9096A54FC24}"/>
    <cellStyle name="Įprastas 5 2 3 3 2 4 2 2 3" xfId="7991" xr:uid="{49221BA1-6530-4CB4-8585-61E341282718}"/>
    <cellStyle name="Įprastas 5 2 3 3 2 4 2 2 4" xfId="4535" xr:uid="{57FB4D71-8A94-429B-A179-F38B283042BF}"/>
    <cellStyle name="Įprastas 5 2 3 3 2 4 2 2_8 priedas" xfId="8839" xr:uid="{10D2C4BA-7505-41DA-9633-3B9A1B0C4919}"/>
    <cellStyle name="Įprastas 5 2 3 3 2 4 2 3" xfId="2806" xr:uid="{B24B2B15-DC0A-4063-945F-B43FD9A797B4}"/>
    <cellStyle name="Įprastas 5 2 3 3 2 4 2 3 2" xfId="5399" xr:uid="{D5230A3D-2FAE-4711-A6BB-03F134C55C64}"/>
    <cellStyle name="Įprastas 5 2 3 3 2 4 2 3_8 priedas" xfId="8840" xr:uid="{45FE3A3F-3D73-4438-9961-E3B600291C21}"/>
    <cellStyle name="Įprastas 5 2 3 3 2 4 2 4" xfId="7127" xr:uid="{19A75041-1CE2-4EE7-A9B5-9A51F81BF47E}"/>
    <cellStyle name="Įprastas 5 2 3 3 2 4 2 5" xfId="3671" xr:uid="{75E62E4B-1405-4513-9CB0-9C66FF90F5D8}"/>
    <cellStyle name="Įprastas 5 2 3 3 2 4 2_8 priedas" xfId="8838" xr:uid="{DCA13743-39D8-4C22-897E-13F42102448D}"/>
    <cellStyle name="Įprastas 5 2 3 3 2 4 3" xfId="1567" xr:uid="{15C45D51-3EEA-4BC2-95A0-E1FD2AE57886}"/>
    <cellStyle name="Įprastas 5 2 3 3 2 4 3 2" xfId="5776" xr:uid="{D2A16A4D-A207-47A2-8805-0D3229FB9FD3}"/>
    <cellStyle name="Įprastas 5 2 3 3 2 4 3 3" xfId="7504" xr:uid="{EAB83D0A-049B-4C9B-AC18-35800077A285}"/>
    <cellStyle name="Įprastas 5 2 3 3 2 4 3 4" xfId="4048" xr:uid="{578E056A-FFCE-48DE-A1A4-876D16DE137F}"/>
    <cellStyle name="Įprastas 5 2 3 3 2 4 3_8 priedas" xfId="8841" xr:uid="{FB265899-1682-478D-9E24-ADAE7EEB860B}"/>
    <cellStyle name="Įprastas 5 2 3 3 2 4 4" xfId="2319" xr:uid="{1B07120C-04FD-4B97-9FA5-10AD8AD4BB84}"/>
    <cellStyle name="Įprastas 5 2 3 3 2 4 4 2" xfId="4912" xr:uid="{9A7BDB72-09CB-4ACD-8860-B8BFFF923400}"/>
    <cellStyle name="Įprastas 5 2 3 3 2 4 4_8 priedas" xfId="8842" xr:uid="{2066CCB2-E0FF-452F-A91E-3E9C7E6C82F9}"/>
    <cellStyle name="Įprastas 5 2 3 3 2 4 5" xfId="6640" xr:uid="{65BFC2CA-C205-4D31-9C22-1E7E3F32A4FE}"/>
    <cellStyle name="Įprastas 5 2 3 3 2 4 6" xfId="3184" xr:uid="{1C30658A-9B39-47DB-9ADF-166265583C74}"/>
    <cellStyle name="Įprastas 5 2 3 3 2 4_8 priedas" xfId="959" xr:uid="{00000000-0005-0000-0000-000073010000}"/>
    <cellStyle name="Įprastas 5 2 3 3 2 5" xfId="153" xr:uid="{00000000-0005-0000-0000-000074010000}"/>
    <cellStyle name="Įprastas 5 2 3 3 2 5 2" xfId="802" xr:uid="{00000000-0005-0000-0000-000075010000}"/>
    <cellStyle name="Įprastas 5 2 3 3 2 5 2 2" xfId="1568" xr:uid="{B1718F14-FE97-44BA-9779-2631D4B82649}"/>
    <cellStyle name="Įprastas 5 2 3 3 2 5 2 2 2" xfId="6407" xr:uid="{64FC3224-E1F6-46BD-8E90-02130C6DBAAC}"/>
    <cellStyle name="Įprastas 5 2 3 3 2 5 2 2 3" xfId="8135" xr:uid="{3278D055-DF96-4BF2-81A3-7D6569673F37}"/>
    <cellStyle name="Įprastas 5 2 3 3 2 5 2 2 4" xfId="4679" xr:uid="{20EF74C3-3A01-4CE9-BA41-C23F8FA408F3}"/>
    <cellStyle name="Įprastas 5 2 3 3 2 5 2 2_8 priedas" xfId="8844" xr:uid="{AEDD6B80-E81F-463E-8607-D2EC51BF3DBA}"/>
    <cellStyle name="Įprastas 5 2 3 3 2 5 2 3" xfId="2950" xr:uid="{4CE9CEAA-3D0C-49AB-A16B-7A16AE0DFD70}"/>
    <cellStyle name="Įprastas 5 2 3 3 2 5 2 3 2" xfId="5543" xr:uid="{A6CC7349-6BBB-4F03-8747-3E1A37848FE1}"/>
    <cellStyle name="Įprastas 5 2 3 3 2 5 2 3_8 priedas" xfId="8845" xr:uid="{D6BF1DB5-E63A-4E09-83D3-484BC68A9F5A}"/>
    <cellStyle name="Įprastas 5 2 3 3 2 5 2 4" xfId="7271" xr:uid="{ABC82624-CF61-40B0-81C2-1629B82EF19F}"/>
    <cellStyle name="Įprastas 5 2 3 3 2 5 2 5" xfId="3815" xr:uid="{5C3C2E33-A890-4904-9DE2-15AA72FD83A3}"/>
    <cellStyle name="Įprastas 5 2 3 3 2 5 2_8 priedas" xfId="8843" xr:uid="{FB3BED04-2394-4CF1-A785-FE4834CD3E60}"/>
    <cellStyle name="Įprastas 5 2 3 3 2 5 3" xfId="1569" xr:uid="{DC11830C-F56D-42CA-A655-87D1EC37A3F8}"/>
    <cellStyle name="Įprastas 5 2 3 3 2 5 3 2" xfId="5777" xr:uid="{67886D88-1818-4A7C-BCF6-1593597C505F}"/>
    <cellStyle name="Įprastas 5 2 3 3 2 5 3 3" xfId="7505" xr:uid="{4BA6B093-5D79-4C2F-98F9-18AFA2EFA448}"/>
    <cellStyle name="Įprastas 5 2 3 3 2 5 3 4" xfId="4049" xr:uid="{55E3B9A9-FA8B-4BE6-AF25-C1341EADCE38}"/>
    <cellStyle name="Įprastas 5 2 3 3 2 5 3_8 priedas" xfId="8846" xr:uid="{E4587859-069D-4722-8865-A152F72D071F}"/>
    <cellStyle name="Įprastas 5 2 3 3 2 5 4" xfId="2320" xr:uid="{2F319B33-A20F-402A-80CF-1F767F74EECF}"/>
    <cellStyle name="Įprastas 5 2 3 3 2 5 4 2" xfId="4913" xr:uid="{4A1DB01A-44B7-4AC5-8203-BE7B442BC82D}"/>
    <cellStyle name="Įprastas 5 2 3 3 2 5 4_8 priedas" xfId="8847" xr:uid="{4F623E8F-58F3-4A97-80BB-B9F238870E70}"/>
    <cellStyle name="Įprastas 5 2 3 3 2 5 5" xfId="6641" xr:uid="{903D027C-8288-4A88-A153-61B583143A5F}"/>
    <cellStyle name="Įprastas 5 2 3 3 2 5 6" xfId="3185" xr:uid="{7F694679-4430-4429-827D-A879FF1B0F1B}"/>
    <cellStyle name="Įprastas 5 2 3 3 2 5_8 priedas" xfId="930" xr:uid="{00000000-0005-0000-0000-000076010000}"/>
    <cellStyle name="Įprastas 5 2 3 3 2 6" xfId="514" xr:uid="{00000000-0005-0000-0000-000077010000}"/>
    <cellStyle name="Įprastas 5 2 3 3 2 6 2" xfId="1570" xr:uid="{68920BC0-A5F4-489F-A17F-168BD388A15D}"/>
    <cellStyle name="Įprastas 5 2 3 3 2 6 2 2" xfId="6119" xr:uid="{77311C25-0461-41BA-AD87-9EEFE9D6FDD6}"/>
    <cellStyle name="Įprastas 5 2 3 3 2 6 2 3" xfId="7847" xr:uid="{3CA3115C-C771-4FEA-9715-297F602719FA}"/>
    <cellStyle name="Įprastas 5 2 3 3 2 6 2 4" xfId="4391" xr:uid="{9FF1FAA8-A876-428A-BAB0-AC90CEBBB359}"/>
    <cellStyle name="Įprastas 5 2 3 3 2 6 2_8 priedas" xfId="8849" xr:uid="{D6DD5615-C78A-44FF-899A-50604505803E}"/>
    <cellStyle name="Įprastas 5 2 3 3 2 6 3" xfId="2662" xr:uid="{B674964E-3D17-40D1-8A47-53D06C33F846}"/>
    <cellStyle name="Įprastas 5 2 3 3 2 6 3 2" xfId="5255" xr:uid="{F9B06563-8D77-4A37-BE64-39434B34E76C}"/>
    <cellStyle name="Įprastas 5 2 3 3 2 6 3_8 priedas" xfId="8850" xr:uid="{95E21001-6697-4C0B-856A-F146B9DEBC75}"/>
    <cellStyle name="Įprastas 5 2 3 3 2 6 4" xfId="6983" xr:uid="{D94A8B35-F82F-4F9C-A2AD-30310B6FBD2F}"/>
    <cellStyle name="Įprastas 5 2 3 3 2 6 5" xfId="3527" xr:uid="{1451C83C-0144-469C-8DC5-88A88A615047}"/>
    <cellStyle name="Įprastas 5 2 3 3 2 6_8 priedas" xfId="8848" xr:uid="{7EBA0785-CE9A-4E52-844C-4197013CE49D}"/>
    <cellStyle name="Įprastas 5 2 3 3 2 7" xfId="1571" xr:uid="{59979AE4-F188-44BD-90E4-350807EA34FD}"/>
    <cellStyle name="Įprastas 5 2 3 3 2 7 2" xfId="5769" xr:uid="{36D92B83-0808-41DC-B69A-5E39A692C5E0}"/>
    <cellStyle name="Įprastas 5 2 3 3 2 7 3" xfId="7497" xr:uid="{66E5CAEB-F286-427C-8917-C67176BF6CA7}"/>
    <cellStyle name="Įprastas 5 2 3 3 2 7 4" xfId="4041" xr:uid="{44F5322A-D316-4ECD-9A95-2A0AE24C335C}"/>
    <cellStyle name="Įprastas 5 2 3 3 2 7_8 priedas" xfId="8851" xr:uid="{AD63790D-F8B3-4275-8750-C39988246302}"/>
    <cellStyle name="Įprastas 5 2 3 3 2 8" xfId="2312" xr:uid="{86FC6E4F-17CE-45C1-A17C-291EC2B972B8}"/>
    <cellStyle name="Įprastas 5 2 3 3 2 8 2" xfId="4905" xr:uid="{6CBFAB0E-FED1-4BD0-B68F-5B2F73D09E36}"/>
    <cellStyle name="Įprastas 5 2 3 3 2 8_8 priedas" xfId="8852" xr:uid="{1C44AA78-64AB-4876-9A05-A4B4B30AD238}"/>
    <cellStyle name="Įprastas 5 2 3 3 2 9" xfId="6633" xr:uid="{80BFC863-3712-4D11-ABDF-5FED47989C2F}"/>
    <cellStyle name="Įprastas 5 2 3 3 2_8 priedas" xfId="1096" xr:uid="{00000000-0005-0000-0000-000078010000}"/>
    <cellStyle name="Įprastas 5 2 3 3 3" xfId="154" xr:uid="{00000000-0005-0000-0000-000079010000}"/>
    <cellStyle name="Įprastas 5 2 3 3 3 2" xfId="155" xr:uid="{00000000-0005-0000-0000-00007A010000}"/>
    <cellStyle name="Įprastas 5 2 3 3 3 2 2" xfId="682" xr:uid="{00000000-0005-0000-0000-00007B010000}"/>
    <cellStyle name="Įprastas 5 2 3 3 3 2 2 2" xfId="1572" xr:uid="{3CE83F50-F166-411D-B3AB-5E50F4EDB836}"/>
    <cellStyle name="Įprastas 5 2 3 3 3 2 2 2 2" xfId="6287" xr:uid="{E2400AF6-2280-465C-8798-4E855E0BC4A0}"/>
    <cellStyle name="Įprastas 5 2 3 3 3 2 2 2 3" xfId="8015" xr:uid="{6BD13752-EB5F-443F-81AC-B15758301FE0}"/>
    <cellStyle name="Įprastas 5 2 3 3 3 2 2 2 4" xfId="4559" xr:uid="{EEF76310-D474-4C01-8582-526ECE30C238}"/>
    <cellStyle name="Įprastas 5 2 3 3 3 2 2 2_8 priedas" xfId="8854" xr:uid="{C62C0420-5BE5-4AE5-A56D-90B8D029D82F}"/>
    <cellStyle name="Įprastas 5 2 3 3 3 2 2 3" xfId="2830" xr:uid="{955099CD-84FB-49BB-83EA-F69FEAA56FAC}"/>
    <cellStyle name="Įprastas 5 2 3 3 3 2 2 3 2" xfId="5423" xr:uid="{D10040EC-5D6B-4A2B-B94C-E52744BE1223}"/>
    <cellStyle name="Įprastas 5 2 3 3 3 2 2 3_8 priedas" xfId="8855" xr:uid="{BDFD0F36-F041-4AA7-9937-CF8998A2F81A}"/>
    <cellStyle name="Įprastas 5 2 3 3 3 2 2 4" xfId="7151" xr:uid="{F76DE4C1-017C-4247-B42A-73D128007623}"/>
    <cellStyle name="Įprastas 5 2 3 3 3 2 2 5" xfId="3695" xr:uid="{04A776A0-CFD6-4BCE-9F47-5783619419DD}"/>
    <cellStyle name="Įprastas 5 2 3 3 3 2 2_8 priedas" xfId="8853" xr:uid="{3EC8D125-3CD0-44A6-97D8-106304F34D47}"/>
    <cellStyle name="Įprastas 5 2 3 3 3 2 3" xfId="1573" xr:uid="{D42CD6D4-1FD7-4BCD-BC39-503E3C94B0F4}"/>
    <cellStyle name="Įprastas 5 2 3 3 3 2 3 2" xfId="5779" xr:uid="{A1525CB6-794B-4400-8ED5-4A6A842F5022}"/>
    <cellStyle name="Įprastas 5 2 3 3 3 2 3 3" xfId="7507" xr:uid="{F8B3A2AB-8806-4A59-BA04-4094C492FC1F}"/>
    <cellStyle name="Įprastas 5 2 3 3 3 2 3 4" xfId="4051" xr:uid="{8F59C8A3-193E-467F-ABBD-DB48A4807E76}"/>
    <cellStyle name="Įprastas 5 2 3 3 3 2 3_8 priedas" xfId="8856" xr:uid="{64C306F5-3D47-40F1-931D-DD6D99FB3E3C}"/>
    <cellStyle name="Įprastas 5 2 3 3 3 2 4" xfId="2322" xr:uid="{60884145-E688-4D45-8152-1E7971B03810}"/>
    <cellStyle name="Įprastas 5 2 3 3 3 2 4 2" xfId="4915" xr:uid="{21332E0E-9445-475A-9567-B5C93C297015}"/>
    <cellStyle name="Įprastas 5 2 3 3 3 2 4_8 priedas" xfId="8857" xr:uid="{B1F84955-E3F0-40CB-9141-F452DDF852AC}"/>
    <cellStyle name="Įprastas 5 2 3 3 3 2 5" xfId="6643" xr:uid="{A567F43D-1D00-4EDB-8AD6-C7600460D558}"/>
    <cellStyle name="Įprastas 5 2 3 3 3 2 6" xfId="3187" xr:uid="{B20BADAB-0673-4170-BA78-1E4988FEF7F7}"/>
    <cellStyle name="Įprastas 5 2 3 3 3 2_8 priedas" xfId="1199" xr:uid="{00000000-0005-0000-0000-00007C010000}"/>
    <cellStyle name="Įprastas 5 2 3 3 3 3" xfId="156" xr:uid="{00000000-0005-0000-0000-00007D010000}"/>
    <cellStyle name="Įprastas 5 2 3 3 3 3 2" xfId="826" xr:uid="{00000000-0005-0000-0000-00007E010000}"/>
    <cellStyle name="Įprastas 5 2 3 3 3 3 2 2" xfId="1574" xr:uid="{FF1163FF-5C9A-4910-89A7-D479EDE8E87C}"/>
    <cellStyle name="Įprastas 5 2 3 3 3 3 2 2 2" xfId="6431" xr:uid="{402518CA-B90E-44BC-B18A-423EBD308F61}"/>
    <cellStyle name="Įprastas 5 2 3 3 3 3 2 2 3" xfId="8159" xr:uid="{591ACD6F-4D62-48D4-8CF9-7E0D4CFB554A}"/>
    <cellStyle name="Įprastas 5 2 3 3 3 3 2 2 4" xfId="4703" xr:uid="{AF81CD6A-73BD-436C-A9DF-BB2B7CBE3BC8}"/>
    <cellStyle name="Įprastas 5 2 3 3 3 3 2 2_8 priedas" xfId="8859" xr:uid="{90770CCC-0CE8-44B8-B381-5C513BE9FF7F}"/>
    <cellStyle name="Įprastas 5 2 3 3 3 3 2 3" xfId="2974" xr:uid="{5C15D0A1-0921-486D-B78E-CF41B3D0C97F}"/>
    <cellStyle name="Įprastas 5 2 3 3 3 3 2 3 2" xfId="5567" xr:uid="{63FA587B-11CE-4581-A7C8-6E9CCF39F4EA}"/>
    <cellStyle name="Įprastas 5 2 3 3 3 3 2 3_8 priedas" xfId="8860" xr:uid="{2EAEDEEB-168C-4800-BB39-B9B7B80CE499}"/>
    <cellStyle name="Įprastas 5 2 3 3 3 3 2 4" xfId="7295" xr:uid="{230CADD9-4143-4322-B1ED-90FAC70E3250}"/>
    <cellStyle name="Įprastas 5 2 3 3 3 3 2 5" xfId="3839" xr:uid="{FE71BB05-DAFB-4654-981B-9FDE792B87D7}"/>
    <cellStyle name="Įprastas 5 2 3 3 3 3 2_8 priedas" xfId="8858" xr:uid="{683F9B3B-9D58-4557-B14E-4C0824BB9655}"/>
    <cellStyle name="Įprastas 5 2 3 3 3 3 3" xfId="1575" xr:uid="{D20D7B5A-A58F-4EA0-BD84-11E10942F1C8}"/>
    <cellStyle name="Įprastas 5 2 3 3 3 3 3 2" xfId="5780" xr:uid="{D5226C10-0B75-41C7-AAB9-6EAF233B901E}"/>
    <cellStyle name="Įprastas 5 2 3 3 3 3 3 3" xfId="7508" xr:uid="{31D78B9C-CF5C-4994-B242-601973BD39C6}"/>
    <cellStyle name="Įprastas 5 2 3 3 3 3 3 4" xfId="4052" xr:uid="{637565EB-795C-4D2A-9E74-72DAC5CC5805}"/>
    <cellStyle name="Įprastas 5 2 3 3 3 3 3_8 priedas" xfId="8861" xr:uid="{664B631B-07D9-48A2-B05C-F556CEE72BCC}"/>
    <cellStyle name="Įprastas 5 2 3 3 3 3 4" xfId="2323" xr:uid="{39371627-0A9E-40D2-81A4-F9AA09EC3FF4}"/>
    <cellStyle name="Įprastas 5 2 3 3 3 3 4 2" xfId="4916" xr:uid="{2FF79DA9-06BD-4DFF-B64C-A2A0E2D2DDD1}"/>
    <cellStyle name="Įprastas 5 2 3 3 3 3 4_8 priedas" xfId="8862" xr:uid="{7CEB0806-3A10-41DD-BD43-2F95015F948C}"/>
    <cellStyle name="Įprastas 5 2 3 3 3 3 5" xfId="6644" xr:uid="{436C0704-934A-45E3-9550-66CFC8978C2A}"/>
    <cellStyle name="Įprastas 5 2 3 3 3 3 6" xfId="3188" xr:uid="{5BD3015D-E278-4D4E-8546-DC2E6A43F298}"/>
    <cellStyle name="Įprastas 5 2 3 3 3 3_8 priedas" xfId="1065" xr:uid="{00000000-0005-0000-0000-00007F010000}"/>
    <cellStyle name="Įprastas 5 2 3 3 3 4" xfId="538" xr:uid="{00000000-0005-0000-0000-000080010000}"/>
    <cellStyle name="Įprastas 5 2 3 3 3 4 2" xfId="1576" xr:uid="{DDF2E437-EE65-4D4F-AAA9-4B3ABE7E1636}"/>
    <cellStyle name="Įprastas 5 2 3 3 3 4 2 2" xfId="6143" xr:uid="{A0891FB1-DAFF-4083-B797-C5E26616D6C1}"/>
    <cellStyle name="Įprastas 5 2 3 3 3 4 2 3" xfId="7871" xr:uid="{322E2C17-1202-4B30-BDEA-364C683CA5E9}"/>
    <cellStyle name="Įprastas 5 2 3 3 3 4 2 4" xfId="4415" xr:uid="{8F606A46-703F-4FCF-9582-80B81725F757}"/>
    <cellStyle name="Įprastas 5 2 3 3 3 4 2_8 priedas" xfId="8864" xr:uid="{49EF5B36-76FB-4B05-B0F2-7EFAB51BBC9D}"/>
    <cellStyle name="Įprastas 5 2 3 3 3 4 3" xfId="2686" xr:uid="{2EDBF376-A54D-406E-8CB4-2DB9F475259C}"/>
    <cellStyle name="Įprastas 5 2 3 3 3 4 3 2" xfId="5279" xr:uid="{C30DE734-D9F8-425A-BC98-7A2112DBCB12}"/>
    <cellStyle name="Įprastas 5 2 3 3 3 4 3_8 priedas" xfId="8865" xr:uid="{D0D751F8-9BAF-4258-9803-94C890B84F6D}"/>
    <cellStyle name="Įprastas 5 2 3 3 3 4 4" xfId="7007" xr:uid="{6AA739B7-1960-4CC7-9D49-07CE8951700F}"/>
    <cellStyle name="Įprastas 5 2 3 3 3 4 5" xfId="3551" xr:uid="{37A469AA-D039-42CE-ABC0-1221B1908098}"/>
    <cellStyle name="Įprastas 5 2 3 3 3 4_8 priedas" xfId="8863" xr:uid="{B501CA29-B03F-4B71-9ACC-11C5708CC044}"/>
    <cellStyle name="Įprastas 5 2 3 3 3 5" xfId="1577" xr:uid="{9ED9BA5C-502B-40B7-8408-FB60EC1D62F7}"/>
    <cellStyle name="Įprastas 5 2 3 3 3 5 2" xfId="5778" xr:uid="{58F1B351-E52E-4F18-91A8-1C8B60271A6F}"/>
    <cellStyle name="Įprastas 5 2 3 3 3 5 3" xfId="7506" xr:uid="{EAFDB6BA-4695-4BCB-8545-8D9FAA1FAAA2}"/>
    <cellStyle name="Įprastas 5 2 3 3 3 5 4" xfId="4050" xr:uid="{8992A913-3DF6-41F2-9FE2-3C2531727634}"/>
    <cellStyle name="Įprastas 5 2 3 3 3 5_8 priedas" xfId="8866" xr:uid="{645474C7-C6A0-49A5-BA2A-25EE06D896A7}"/>
    <cellStyle name="Įprastas 5 2 3 3 3 6" xfId="2321" xr:uid="{089D3C4C-C0AF-43A1-A9CD-BFB07621EF60}"/>
    <cellStyle name="Įprastas 5 2 3 3 3 6 2" xfId="4914" xr:uid="{2822FD12-9BF6-4F88-AEF6-2C4B055D8682}"/>
    <cellStyle name="Įprastas 5 2 3 3 3 6_8 priedas" xfId="8867" xr:uid="{40279C57-2EDA-427B-95EE-47ED915E5E1C}"/>
    <cellStyle name="Įprastas 5 2 3 3 3 7" xfId="6642" xr:uid="{A55768F5-E0CF-42C7-94EF-1484F55F0769}"/>
    <cellStyle name="Įprastas 5 2 3 3 3 8" xfId="3186" xr:uid="{B2DCCB6E-19FC-4333-A101-3C34D3849841}"/>
    <cellStyle name="Įprastas 5 2 3 3 3_8 priedas" xfId="940" xr:uid="{00000000-0005-0000-0000-000081010000}"/>
    <cellStyle name="Įprastas 5 2 3 3 4" xfId="157" xr:uid="{00000000-0005-0000-0000-000082010000}"/>
    <cellStyle name="Įprastas 5 2 3 3 4 2" xfId="158" xr:uid="{00000000-0005-0000-0000-000083010000}"/>
    <cellStyle name="Įprastas 5 2 3 3 4 2 2" xfId="730" xr:uid="{00000000-0005-0000-0000-000084010000}"/>
    <cellStyle name="Įprastas 5 2 3 3 4 2 2 2" xfId="1578" xr:uid="{750F73FE-1F0B-40DA-AEBB-E0F3B8E5109A}"/>
    <cellStyle name="Įprastas 5 2 3 3 4 2 2 2 2" xfId="6335" xr:uid="{9F111353-48BC-454E-9047-0486C7C6866F}"/>
    <cellStyle name="Įprastas 5 2 3 3 4 2 2 2 3" xfId="8063" xr:uid="{FB59CAD1-B551-462B-A1C5-1DB2BB00EF07}"/>
    <cellStyle name="Įprastas 5 2 3 3 4 2 2 2 4" xfId="4607" xr:uid="{DBF4DBA4-E791-4AB9-877A-85D9A1A2F8E8}"/>
    <cellStyle name="Įprastas 5 2 3 3 4 2 2 2_8 priedas" xfId="8869" xr:uid="{67B091EA-C899-4590-A5F1-F12298F35B9F}"/>
    <cellStyle name="Įprastas 5 2 3 3 4 2 2 3" xfId="2878" xr:uid="{C9A73A8B-85E1-4ECC-BBE1-0C544685AC43}"/>
    <cellStyle name="Įprastas 5 2 3 3 4 2 2 3 2" xfId="5471" xr:uid="{54531A10-47AB-4626-9B83-62083FB2BDA4}"/>
    <cellStyle name="Įprastas 5 2 3 3 4 2 2 3_8 priedas" xfId="8870" xr:uid="{28918A59-B191-42FA-89DE-F4B23F0FE694}"/>
    <cellStyle name="Įprastas 5 2 3 3 4 2 2 4" xfId="7199" xr:uid="{9FD6831C-BCB6-4583-AF56-AE8FBEA53E35}"/>
    <cellStyle name="Įprastas 5 2 3 3 4 2 2 5" xfId="3743" xr:uid="{0A1752D7-328D-4E92-92A2-8893078D2F29}"/>
    <cellStyle name="Įprastas 5 2 3 3 4 2 2_8 priedas" xfId="8868" xr:uid="{E4E2AD99-7D19-4DC5-92A2-82AED905567F}"/>
    <cellStyle name="Įprastas 5 2 3 3 4 2 3" xfId="1579" xr:uid="{29FF077B-ABD9-488C-8E24-6A7B8027A43D}"/>
    <cellStyle name="Įprastas 5 2 3 3 4 2 3 2" xfId="5782" xr:uid="{260C7486-2D6D-41B1-BBFE-9AD950AC3842}"/>
    <cellStyle name="Įprastas 5 2 3 3 4 2 3 3" xfId="7510" xr:uid="{11FD312C-DD32-495A-ACAB-F542D3583F35}"/>
    <cellStyle name="Įprastas 5 2 3 3 4 2 3 4" xfId="4054" xr:uid="{97F5A0B6-F50B-4A2A-B9CB-70C66AECA39D}"/>
    <cellStyle name="Įprastas 5 2 3 3 4 2 3_8 priedas" xfId="8871" xr:uid="{B9EAB7FA-5500-404F-A4E3-E8EFB74BEC98}"/>
    <cellStyle name="Įprastas 5 2 3 3 4 2 4" xfId="2325" xr:uid="{257F6070-2CF1-4FE4-AAA5-22E9FC1DD050}"/>
    <cellStyle name="Įprastas 5 2 3 3 4 2 4 2" xfId="4918" xr:uid="{8BFF9CAF-8056-4813-BF5B-1964581891FF}"/>
    <cellStyle name="Įprastas 5 2 3 3 4 2 4_8 priedas" xfId="8872" xr:uid="{371B3392-9E57-4ADB-80D2-A82D902A2A98}"/>
    <cellStyle name="Įprastas 5 2 3 3 4 2 5" xfId="6646" xr:uid="{7F608A2D-37DA-4D89-BAA6-6D3D84F6DDC4}"/>
    <cellStyle name="Įprastas 5 2 3 3 4 2 6" xfId="3190" xr:uid="{6D7B3B07-387B-49A6-BB21-A2499A02460C}"/>
    <cellStyle name="Įprastas 5 2 3 3 4 2_8 priedas" xfId="1153" xr:uid="{00000000-0005-0000-0000-000085010000}"/>
    <cellStyle name="Įprastas 5 2 3 3 4 3" xfId="159" xr:uid="{00000000-0005-0000-0000-000086010000}"/>
    <cellStyle name="Įprastas 5 2 3 3 4 3 2" xfId="874" xr:uid="{00000000-0005-0000-0000-000087010000}"/>
    <cellStyle name="Įprastas 5 2 3 3 4 3 2 2" xfId="1580" xr:uid="{2E7DFEEC-5359-46A6-AEB0-55BFA57F71D1}"/>
    <cellStyle name="Įprastas 5 2 3 3 4 3 2 2 2" xfId="6479" xr:uid="{936EC410-0C55-4861-B7F1-87AAB8BF7278}"/>
    <cellStyle name="Įprastas 5 2 3 3 4 3 2 2 3" xfId="8207" xr:uid="{92AC64AF-7D79-4BCB-96B1-8AE5B0EBD1C1}"/>
    <cellStyle name="Įprastas 5 2 3 3 4 3 2 2 4" xfId="4751" xr:uid="{F15603C1-38B5-4047-ADE4-89F506F76A30}"/>
    <cellStyle name="Įprastas 5 2 3 3 4 3 2 2_8 priedas" xfId="8874" xr:uid="{50307B8C-9EC8-46B5-80CA-4EB559913B50}"/>
    <cellStyle name="Įprastas 5 2 3 3 4 3 2 3" xfId="3022" xr:uid="{C2AC24E2-DD48-4DF5-8C25-2CD9E8269A95}"/>
    <cellStyle name="Įprastas 5 2 3 3 4 3 2 3 2" xfId="5615" xr:uid="{0B0401C7-A3C7-4F1D-B9C4-192F496C31E7}"/>
    <cellStyle name="Įprastas 5 2 3 3 4 3 2 3_8 priedas" xfId="8875" xr:uid="{475BD12A-9A9C-4B04-B79A-DAC728236F55}"/>
    <cellStyle name="Įprastas 5 2 3 3 4 3 2 4" xfId="7343" xr:uid="{FB34C0AA-6672-4F84-95B3-9AE47EF73E15}"/>
    <cellStyle name="Įprastas 5 2 3 3 4 3 2 5" xfId="3887" xr:uid="{2A623473-00F7-450E-AF39-DB0A37B85308}"/>
    <cellStyle name="Įprastas 5 2 3 3 4 3 2_8 priedas" xfId="8873" xr:uid="{C9182AC9-7854-435E-9EF3-D29900B57FF9}"/>
    <cellStyle name="Įprastas 5 2 3 3 4 3 3" xfId="1581" xr:uid="{AE54D57D-0386-43C8-A9EF-18447A9DCED9}"/>
    <cellStyle name="Įprastas 5 2 3 3 4 3 3 2" xfId="5783" xr:uid="{D1B49EA6-476E-4845-BE30-7FF748DE6757}"/>
    <cellStyle name="Įprastas 5 2 3 3 4 3 3 3" xfId="7511" xr:uid="{21AA622E-4F0E-4CD0-80FB-49ED6DEAF3D6}"/>
    <cellStyle name="Įprastas 5 2 3 3 4 3 3 4" xfId="4055" xr:uid="{66FCECF0-30DF-4782-B824-6BF077B37266}"/>
    <cellStyle name="Įprastas 5 2 3 3 4 3 3_8 priedas" xfId="8876" xr:uid="{E2AD8741-FCE2-42CB-80D9-08B236EC201D}"/>
    <cellStyle name="Įprastas 5 2 3 3 4 3 4" xfId="2326" xr:uid="{96EE3478-8B82-47B9-89A2-C4947EAC2909}"/>
    <cellStyle name="Įprastas 5 2 3 3 4 3 4 2" xfId="4919" xr:uid="{62E10FA6-1474-4F2F-8C24-A3BB90C09C11}"/>
    <cellStyle name="Įprastas 5 2 3 3 4 3 4_8 priedas" xfId="8877" xr:uid="{DCB9F426-F2E0-4C27-B164-2320D7EE6D18}"/>
    <cellStyle name="Įprastas 5 2 3 3 4 3 5" xfId="6647" xr:uid="{D1ED8A3D-56C9-4839-A771-AA87E3AF7E5A}"/>
    <cellStyle name="Įprastas 5 2 3 3 4 3 6" xfId="3191" xr:uid="{997BF539-56C0-4BCC-BA43-4A4C37576BF9}"/>
    <cellStyle name="Įprastas 5 2 3 3 4 3_8 priedas" xfId="1018" xr:uid="{00000000-0005-0000-0000-000088010000}"/>
    <cellStyle name="Įprastas 5 2 3 3 4 4" xfId="586" xr:uid="{00000000-0005-0000-0000-000089010000}"/>
    <cellStyle name="Įprastas 5 2 3 3 4 4 2" xfId="1582" xr:uid="{DEC66F7E-F029-4994-9253-776B5132508F}"/>
    <cellStyle name="Įprastas 5 2 3 3 4 4 2 2" xfId="6191" xr:uid="{4B7D274A-AD15-4A68-ABD0-1B9F850BCA56}"/>
    <cellStyle name="Įprastas 5 2 3 3 4 4 2 3" xfId="7919" xr:uid="{95B9191A-A695-4729-BE9D-7F5FC81181DE}"/>
    <cellStyle name="Įprastas 5 2 3 3 4 4 2 4" xfId="4463" xr:uid="{6F518B2B-6616-4E9E-862E-8B00049064BB}"/>
    <cellStyle name="Įprastas 5 2 3 3 4 4 2_8 priedas" xfId="8879" xr:uid="{C419AA43-20BB-429B-B3A3-6BEBF390B68C}"/>
    <cellStyle name="Įprastas 5 2 3 3 4 4 3" xfId="2734" xr:uid="{F4D535B9-404C-4277-9405-04ADB3B03396}"/>
    <cellStyle name="Įprastas 5 2 3 3 4 4 3 2" xfId="5327" xr:uid="{DBE5863A-833E-43FD-900B-9215E5096C3E}"/>
    <cellStyle name="Įprastas 5 2 3 3 4 4 3_8 priedas" xfId="8880" xr:uid="{0199D9FA-7830-4823-866E-B04A835D9FFA}"/>
    <cellStyle name="Įprastas 5 2 3 3 4 4 4" xfId="7055" xr:uid="{9B6ABD28-83B8-4830-9A50-4508DB43A9EA}"/>
    <cellStyle name="Įprastas 5 2 3 3 4 4 5" xfId="3599" xr:uid="{F3B52480-05DA-4568-93B3-8E2D8CAF7992}"/>
    <cellStyle name="Įprastas 5 2 3 3 4 4_8 priedas" xfId="8878" xr:uid="{58E017AA-6389-4065-AC2A-7A2B26456E1E}"/>
    <cellStyle name="Įprastas 5 2 3 3 4 5" xfId="1583" xr:uid="{707EC6A6-2B8B-450B-B713-1BC4E6BBD4BD}"/>
    <cellStyle name="Įprastas 5 2 3 3 4 5 2" xfId="5781" xr:uid="{73E9C248-6B50-48AB-9CB2-334EECE29689}"/>
    <cellStyle name="Įprastas 5 2 3 3 4 5 3" xfId="7509" xr:uid="{705BAA8B-6F3C-45AA-A4F5-01C329ECFDCF}"/>
    <cellStyle name="Įprastas 5 2 3 3 4 5 4" xfId="4053" xr:uid="{05DA6D8B-65A6-40A7-84A5-24462FC58AEC}"/>
    <cellStyle name="Įprastas 5 2 3 3 4 5_8 priedas" xfId="8881" xr:uid="{DE723A8B-4FC3-4F71-BAF0-57A5BD35A748}"/>
    <cellStyle name="Įprastas 5 2 3 3 4 6" xfId="2324" xr:uid="{3409F25B-AD13-4168-94E1-3D89110D12FC}"/>
    <cellStyle name="Įprastas 5 2 3 3 4 6 2" xfId="4917" xr:uid="{E99579F3-5E00-4C73-8B11-D66CA0BCBCDE}"/>
    <cellStyle name="Įprastas 5 2 3 3 4 6_8 priedas" xfId="8882" xr:uid="{ED24A09D-9970-444B-AF17-1ACA7DA55EC6}"/>
    <cellStyle name="Įprastas 5 2 3 3 4 7" xfId="6645" xr:uid="{C646F02C-BAC9-4A3F-A608-B291A9F67F7E}"/>
    <cellStyle name="Įprastas 5 2 3 3 4 8" xfId="3189" xr:uid="{4FA874D9-AF0D-46EA-8822-2D0FA088F5C8}"/>
    <cellStyle name="Įprastas 5 2 3 3 4_8 priedas" xfId="1290" xr:uid="{00000000-0005-0000-0000-00008A010000}"/>
    <cellStyle name="Įprastas 5 2 3 3 5" xfId="160" xr:uid="{00000000-0005-0000-0000-00008B010000}"/>
    <cellStyle name="Įprastas 5 2 3 3 5 2" xfId="634" xr:uid="{00000000-0005-0000-0000-00008C010000}"/>
    <cellStyle name="Įprastas 5 2 3 3 5 2 2" xfId="1584" xr:uid="{163E97FB-68E0-4D72-91B1-FB787B68FB40}"/>
    <cellStyle name="Įprastas 5 2 3 3 5 2 2 2" xfId="6239" xr:uid="{C5240344-9340-4054-AA1A-315B60B8CB1C}"/>
    <cellStyle name="Įprastas 5 2 3 3 5 2 2 3" xfId="7967" xr:uid="{993799A4-8A3C-4D08-AB4D-4F101E110BD5}"/>
    <cellStyle name="Įprastas 5 2 3 3 5 2 2 4" xfId="4511" xr:uid="{25157D16-30E6-402E-93BA-227C73D1171F}"/>
    <cellStyle name="Įprastas 5 2 3 3 5 2 2_8 priedas" xfId="8884" xr:uid="{7D0E22DB-9E43-4A23-BFD0-8E961DEA3D44}"/>
    <cellStyle name="Įprastas 5 2 3 3 5 2 3" xfId="2782" xr:uid="{A9E48B54-ED44-4279-8D18-55240985FFA1}"/>
    <cellStyle name="Įprastas 5 2 3 3 5 2 3 2" xfId="5375" xr:uid="{F5CB8F6B-CE3E-42D8-9A80-D84AE89F1CE2}"/>
    <cellStyle name="Įprastas 5 2 3 3 5 2 3_8 priedas" xfId="8885" xr:uid="{2F18662B-0E19-4B36-A37E-2209DD376A8F}"/>
    <cellStyle name="Įprastas 5 2 3 3 5 2 4" xfId="7103" xr:uid="{59F6AE78-E288-4E19-B7F1-C5B29A95E1FB}"/>
    <cellStyle name="Įprastas 5 2 3 3 5 2 5" xfId="3647" xr:uid="{99B1AE0F-275B-482E-8B72-B1A90FB24193}"/>
    <cellStyle name="Įprastas 5 2 3 3 5 2_8 priedas" xfId="8883" xr:uid="{B45240FF-18CC-48F5-9E8A-444982B60C00}"/>
    <cellStyle name="Įprastas 5 2 3 3 5 3" xfId="1585" xr:uid="{55A22D56-FB90-4640-BD7D-375E7DFC6C39}"/>
    <cellStyle name="Įprastas 5 2 3 3 5 3 2" xfId="5784" xr:uid="{69438B8F-334E-47A7-9A9C-AE906518746A}"/>
    <cellStyle name="Įprastas 5 2 3 3 5 3 3" xfId="7512" xr:uid="{DBD34077-71C4-4FCD-8E0E-47C62F7C9288}"/>
    <cellStyle name="Įprastas 5 2 3 3 5 3 4" xfId="4056" xr:uid="{B6F3A986-714E-4204-827F-F83A3E95C1C7}"/>
    <cellStyle name="Įprastas 5 2 3 3 5 3_8 priedas" xfId="8886" xr:uid="{97180B9D-D5CE-49E2-94D6-83AEB957E53B}"/>
    <cellStyle name="Įprastas 5 2 3 3 5 4" xfId="2327" xr:uid="{57AF226E-F437-46EA-BFA6-FDD9C8521685}"/>
    <cellStyle name="Įprastas 5 2 3 3 5 4 2" xfId="4920" xr:uid="{7086A360-62C9-47E7-B308-23D04A36E08A}"/>
    <cellStyle name="Įprastas 5 2 3 3 5 4_8 priedas" xfId="8887" xr:uid="{38159720-7D5A-4927-8B56-3A2462293876}"/>
    <cellStyle name="Įprastas 5 2 3 3 5 5" xfId="6648" xr:uid="{ABB1F69D-5553-4873-974D-C1B791AF4577}"/>
    <cellStyle name="Įprastas 5 2 3 3 5 6" xfId="3192" xr:uid="{14F129FE-E909-4E33-84B5-92C15E697D0C}"/>
    <cellStyle name="Įprastas 5 2 3 3 5_8 priedas" xfId="1243" xr:uid="{00000000-0005-0000-0000-00008D010000}"/>
    <cellStyle name="Įprastas 5 2 3 3 6" xfId="161" xr:uid="{00000000-0005-0000-0000-00008E010000}"/>
    <cellStyle name="Įprastas 5 2 3 3 6 2" xfId="778" xr:uid="{00000000-0005-0000-0000-00008F010000}"/>
    <cellStyle name="Įprastas 5 2 3 3 6 2 2" xfId="1586" xr:uid="{2ECFA01D-A839-4CD2-993C-25855C7554DC}"/>
    <cellStyle name="Įprastas 5 2 3 3 6 2 2 2" xfId="6383" xr:uid="{877C638E-F058-49CA-AA54-4B8BD1A08491}"/>
    <cellStyle name="Įprastas 5 2 3 3 6 2 2 3" xfId="8111" xr:uid="{8BE7B220-A989-4ABE-99D9-59C5FD49ED7E}"/>
    <cellStyle name="Įprastas 5 2 3 3 6 2 2 4" xfId="4655" xr:uid="{D4A6E6C1-0B73-4989-8FE7-0287B6B3DDBE}"/>
    <cellStyle name="Įprastas 5 2 3 3 6 2 2_8 priedas" xfId="8889" xr:uid="{666DF8EF-7619-46CD-87B4-298AE1A91442}"/>
    <cellStyle name="Įprastas 5 2 3 3 6 2 3" xfId="2926" xr:uid="{CFB9A602-D8A7-442E-A011-80AFFB5511C5}"/>
    <cellStyle name="Įprastas 5 2 3 3 6 2 3 2" xfId="5519" xr:uid="{8ED34BEC-90DE-4497-BB2C-8E6C9B0EC16B}"/>
    <cellStyle name="Įprastas 5 2 3 3 6 2 3_8 priedas" xfId="8890" xr:uid="{EF9C7D4D-EFF2-4B4B-811D-EA31398D12A1}"/>
    <cellStyle name="Įprastas 5 2 3 3 6 2 4" xfId="7247" xr:uid="{4DC99848-CA8D-44AF-B23A-7745735C8FB6}"/>
    <cellStyle name="Įprastas 5 2 3 3 6 2 5" xfId="3791" xr:uid="{BC6DBABC-659C-4852-8DBB-49696D55A7E5}"/>
    <cellStyle name="Įprastas 5 2 3 3 6 2_8 priedas" xfId="8888" xr:uid="{8CFDE5C6-36FB-47CC-98ED-6E9E13108AA7}"/>
    <cellStyle name="Įprastas 5 2 3 3 6 3" xfId="1587" xr:uid="{C8B6113C-B0A3-4B80-AA17-BF1093D4FA53}"/>
    <cellStyle name="Įprastas 5 2 3 3 6 3 2" xfId="5785" xr:uid="{BFBC757B-882B-4B62-A9D1-751DC8A835FE}"/>
    <cellStyle name="Įprastas 5 2 3 3 6 3 3" xfId="7513" xr:uid="{7060D03A-BB43-413F-91C1-960D3C4E9AB6}"/>
    <cellStyle name="Įprastas 5 2 3 3 6 3 4" xfId="4057" xr:uid="{0B0A77F1-73A5-4AEF-8BE9-A66C2DD362FC}"/>
    <cellStyle name="Įprastas 5 2 3 3 6 3_8 priedas" xfId="8891" xr:uid="{D0499190-8C40-403E-A25C-429D617A2248}"/>
    <cellStyle name="Įprastas 5 2 3 3 6 4" xfId="2328" xr:uid="{DC574EAD-7DF3-4AB0-8D58-C8CDD163A0D2}"/>
    <cellStyle name="Įprastas 5 2 3 3 6 4 2" xfId="4921" xr:uid="{E9ED24CF-00EC-4007-9462-2A837CF61805}"/>
    <cellStyle name="Įprastas 5 2 3 3 6 4_8 priedas" xfId="8892" xr:uid="{6A5BF32F-3D84-4A0A-A61F-5642BD82A99C}"/>
    <cellStyle name="Įprastas 5 2 3 3 6 5" xfId="6649" xr:uid="{BE34F478-E5E8-42E7-B14C-BD586116DC37}"/>
    <cellStyle name="Įprastas 5 2 3 3 6 6" xfId="3193" xr:uid="{5176C488-1CD9-4106-9F68-1C14A26B63AD}"/>
    <cellStyle name="Įprastas 5 2 3 3 6_8 priedas" xfId="1113" xr:uid="{00000000-0005-0000-0000-000090010000}"/>
    <cellStyle name="Įprastas 5 2 3 3 7" xfId="490" xr:uid="{00000000-0005-0000-0000-000091010000}"/>
    <cellStyle name="Įprastas 5 2 3 3 7 2" xfId="1588" xr:uid="{460E77D9-677B-4905-9739-E60F71D39ED5}"/>
    <cellStyle name="Įprastas 5 2 3 3 7 2 2" xfId="6095" xr:uid="{E27EFD98-9959-4E8F-885A-592612B973FF}"/>
    <cellStyle name="Įprastas 5 2 3 3 7 2 3" xfId="7823" xr:uid="{20FAB56F-7CF9-4DCB-8581-D5887A1F613D}"/>
    <cellStyle name="Įprastas 5 2 3 3 7 2 4" xfId="4367" xr:uid="{410C4937-BB3E-46DF-9FF1-B69C21BAF800}"/>
    <cellStyle name="Įprastas 5 2 3 3 7 2_8 priedas" xfId="8894" xr:uid="{8881B49D-2474-435A-9A45-BFD5B5EEE866}"/>
    <cellStyle name="Įprastas 5 2 3 3 7 3" xfId="2638" xr:uid="{432FFF2C-2265-42D8-A360-08D2E6C626FE}"/>
    <cellStyle name="Įprastas 5 2 3 3 7 3 2" xfId="5231" xr:uid="{E09426E9-C222-4425-88F2-C7F43673D0EB}"/>
    <cellStyle name="Įprastas 5 2 3 3 7 3_8 priedas" xfId="8895" xr:uid="{B9916FED-E965-4CA0-8E70-26E729016B70}"/>
    <cellStyle name="Įprastas 5 2 3 3 7 4" xfId="6959" xr:uid="{71D5BE61-8AEC-44F9-A4F6-C1AE5CF6A89D}"/>
    <cellStyle name="Įprastas 5 2 3 3 7 5" xfId="3503" xr:uid="{4D2F53C9-7F73-4821-A6BA-06408C1E2F12}"/>
    <cellStyle name="Įprastas 5 2 3 3 7_8 priedas" xfId="8893" xr:uid="{9D98A190-85BA-4494-8DDD-2AD50E7B0BA5}"/>
    <cellStyle name="Įprastas 5 2 3 3 8" xfId="1589" xr:uid="{EF4F13A4-484E-49C2-BEC4-C3C74CFC2DCB}"/>
    <cellStyle name="Įprastas 5 2 3 3 8 2" xfId="5768" xr:uid="{9391B01C-FF2C-4311-AA45-9AD6DA5E1E25}"/>
    <cellStyle name="Įprastas 5 2 3 3 8 3" xfId="7496" xr:uid="{A09152E0-8C38-47F4-A962-1BE7E2DA748B}"/>
    <cellStyle name="Įprastas 5 2 3 3 8 4" xfId="4040" xr:uid="{E4BCB20C-CE74-4277-A408-7D24C9CF3C22}"/>
    <cellStyle name="Įprastas 5 2 3 3 8_8 priedas" xfId="8896" xr:uid="{86D2858A-1214-49C8-A72F-E40797C4A272}"/>
    <cellStyle name="Įprastas 5 2 3 3 9" xfId="2311" xr:uid="{F3BC0125-FF9B-47F5-AA70-585E3E23725E}"/>
    <cellStyle name="Įprastas 5 2 3 3 9 2" xfId="4904" xr:uid="{0BE47B73-FEE4-4FBA-8288-4803023A21AD}"/>
    <cellStyle name="Įprastas 5 2 3 3 9_8 priedas" xfId="8897" xr:uid="{04879E7A-5C63-49E3-ABF0-1BE75F6EADA5}"/>
    <cellStyle name="Įprastas 5 2 3 3_8 priedas" xfId="1230" xr:uid="{00000000-0005-0000-0000-000092010000}"/>
    <cellStyle name="Įprastas 5 2 3 4" xfId="162" xr:uid="{00000000-0005-0000-0000-000093010000}"/>
    <cellStyle name="Įprastas 5 2 3 4 10" xfId="3194" xr:uid="{03E7465E-6411-46D2-AAF0-2078368ADE29}"/>
    <cellStyle name="Įprastas 5 2 3 4 2" xfId="163" xr:uid="{00000000-0005-0000-0000-000094010000}"/>
    <cellStyle name="Įprastas 5 2 3 4 2 2" xfId="164" xr:uid="{00000000-0005-0000-0000-000095010000}"/>
    <cellStyle name="Įprastas 5 2 3 4 2 2 2" xfId="694" xr:uid="{00000000-0005-0000-0000-000096010000}"/>
    <cellStyle name="Įprastas 5 2 3 4 2 2 2 2" xfId="1590" xr:uid="{18263738-AD04-494F-A143-0282165F5588}"/>
    <cellStyle name="Įprastas 5 2 3 4 2 2 2 2 2" xfId="6299" xr:uid="{D568B1A6-8F1E-4B18-8F81-2807FFEACA11}"/>
    <cellStyle name="Įprastas 5 2 3 4 2 2 2 2 3" xfId="8027" xr:uid="{567C08AD-131F-4288-9F9C-6CB6392EA89F}"/>
    <cellStyle name="Įprastas 5 2 3 4 2 2 2 2 4" xfId="4571" xr:uid="{A9DD0C0C-9C13-4979-A82E-9617A3F31703}"/>
    <cellStyle name="Įprastas 5 2 3 4 2 2 2 2_8 priedas" xfId="8899" xr:uid="{C743B257-FBEA-4243-A849-94F31197DA65}"/>
    <cellStyle name="Įprastas 5 2 3 4 2 2 2 3" xfId="2842" xr:uid="{F07589EF-B56A-4A57-A33F-1E6E78DA5DD7}"/>
    <cellStyle name="Įprastas 5 2 3 4 2 2 2 3 2" xfId="5435" xr:uid="{EA7B91B4-1B5D-411F-AF56-079A17869BD2}"/>
    <cellStyle name="Įprastas 5 2 3 4 2 2 2 3_8 priedas" xfId="8900" xr:uid="{EA551AC6-D56B-4A64-9B11-5476F42491DF}"/>
    <cellStyle name="Įprastas 5 2 3 4 2 2 2 4" xfId="7163" xr:uid="{4B60CE63-671F-40B8-86A8-84FB6FCE5B7F}"/>
    <cellStyle name="Įprastas 5 2 3 4 2 2 2 5" xfId="3707" xr:uid="{38A3C940-C53B-4D6F-9A0E-537201C95050}"/>
    <cellStyle name="Įprastas 5 2 3 4 2 2 2_8 priedas" xfId="8898" xr:uid="{6EC2F7FA-3AF0-4C75-A5D7-92304CFDC964}"/>
    <cellStyle name="Įprastas 5 2 3 4 2 2 3" xfId="1591" xr:uid="{2680A804-2B3C-49D1-88A3-40AA066F6B80}"/>
    <cellStyle name="Įprastas 5 2 3 4 2 2 3 2" xfId="5788" xr:uid="{7010F1F8-1BFF-49A8-A70F-0C4D638A1113}"/>
    <cellStyle name="Įprastas 5 2 3 4 2 2 3 3" xfId="7516" xr:uid="{47126E52-5AA5-4ABE-A1FE-556A739F3E61}"/>
    <cellStyle name="Įprastas 5 2 3 4 2 2 3 4" xfId="4060" xr:uid="{A8323DA1-CB34-45CC-B29B-1D8884501C7F}"/>
    <cellStyle name="Įprastas 5 2 3 4 2 2 3_8 priedas" xfId="8901" xr:uid="{F183B1F3-4D1F-492F-BF55-7A527A02AEE5}"/>
    <cellStyle name="Įprastas 5 2 3 4 2 2 4" xfId="2331" xr:uid="{70AC452D-0DEE-4D38-B2BC-B9E56EFBD6B2}"/>
    <cellStyle name="Įprastas 5 2 3 4 2 2 4 2" xfId="4924" xr:uid="{13C3853A-3A49-40D3-B07A-53C572A25681}"/>
    <cellStyle name="Įprastas 5 2 3 4 2 2 4_8 priedas" xfId="8902" xr:uid="{DFDC48EA-4E7D-45B0-BC15-28C1CE7B460D}"/>
    <cellStyle name="Įprastas 5 2 3 4 2 2 5" xfId="6652" xr:uid="{A60EB146-83FE-47AF-9C49-852624C828DA}"/>
    <cellStyle name="Įprastas 5 2 3 4 2 2 6" xfId="3196" xr:uid="{3CBD988A-28F0-4C48-9FAF-BB53394B0651}"/>
    <cellStyle name="Įprastas 5 2 3 4 2 2_8 priedas" xfId="1089" xr:uid="{00000000-0005-0000-0000-000097010000}"/>
    <cellStyle name="Įprastas 5 2 3 4 2 3" xfId="165" xr:uid="{00000000-0005-0000-0000-000098010000}"/>
    <cellStyle name="Įprastas 5 2 3 4 2 3 2" xfId="838" xr:uid="{00000000-0005-0000-0000-000099010000}"/>
    <cellStyle name="Įprastas 5 2 3 4 2 3 2 2" xfId="1592" xr:uid="{5DA9B8CF-7509-45F5-8BC1-A68A9ABF58D6}"/>
    <cellStyle name="Įprastas 5 2 3 4 2 3 2 2 2" xfId="6443" xr:uid="{19B4E2E4-D63E-432E-BD24-75C584E4F45F}"/>
    <cellStyle name="Įprastas 5 2 3 4 2 3 2 2 3" xfId="8171" xr:uid="{A86B2852-2499-44A2-8AFE-70989849E069}"/>
    <cellStyle name="Įprastas 5 2 3 4 2 3 2 2 4" xfId="4715" xr:uid="{DC6453C5-F357-4488-BD80-2D80799D7682}"/>
    <cellStyle name="Įprastas 5 2 3 4 2 3 2 2_8 priedas" xfId="8904" xr:uid="{661D847A-639A-4CEA-8B9A-4EC7FCD36793}"/>
    <cellStyle name="Įprastas 5 2 3 4 2 3 2 3" xfId="2986" xr:uid="{8BE887CF-5EDD-4D53-8CE7-4D48B70CB9CF}"/>
    <cellStyle name="Įprastas 5 2 3 4 2 3 2 3 2" xfId="5579" xr:uid="{AB8B13C1-C796-4A03-AC1D-BA0BB9517DE2}"/>
    <cellStyle name="Įprastas 5 2 3 4 2 3 2 3_8 priedas" xfId="8905" xr:uid="{2E63E9FA-07FB-43E6-809E-8DD64EC1FF7D}"/>
    <cellStyle name="Įprastas 5 2 3 4 2 3 2 4" xfId="7307" xr:uid="{7DCE5226-25D2-4A30-B360-922A712A2FF9}"/>
    <cellStyle name="Įprastas 5 2 3 4 2 3 2 5" xfId="3851" xr:uid="{20697EEB-A0E1-4598-9D43-BD1B7BA48A7D}"/>
    <cellStyle name="Įprastas 5 2 3 4 2 3 2_8 priedas" xfId="8903" xr:uid="{934D25DB-0A24-43B8-A985-16A352C4891A}"/>
    <cellStyle name="Įprastas 5 2 3 4 2 3 3" xfId="1593" xr:uid="{2EAE14F1-0C04-42EC-A4E1-FC8F5E66ECD7}"/>
    <cellStyle name="Įprastas 5 2 3 4 2 3 3 2" xfId="5789" xr:uid="{A2071C6A-FF7D-473D-AADA-AEC77CBB95C6}"/>
    <cellStyle name="Įprastas 5 2 3 4 2 3 3 3" xfId="7517" xr:uid="{284668BC-D25A-4007-9099-9ECAD77CE5FD}"/>
    <cellStyle name="Įprastas 5 2 3 4 2 3 3 4" xfId="4061" xr:uid="{F6558A8A-6ECA-4205-9336-B47888CD0D28}"/>
    <cellStyle name="Įprastas 5 2 3 4 2 3 3_8 priedas" xfId="8906" xr:uid="{AF1E1756-0060-4FC8-A7F4-6C745CC0BD14}"/>
    <cellStyle name="Įprastas 5 2 3 4 2 3 4" xfId="2332" xr:uid="{B409ECAC-8B34-4A4F-ADFD-873D47CF01F8}"/>
    <cellStyle name="Įprastas 5 2 3 4 2 3 4 2" xfId="4925" xr:uid="{B46C91DF-0902-4FB6-B6F0-C22A579DEDD9}"/>
    <cellStyle name="Įprastas 5 2 3 4 2 3 4_8 priedas" xfId="8907" xr:uid="{FF22E7A8-BD8C-4D86-8FB6-72241783D171}"/>
    <cellStyle name="Įprastas 5 2 3 4 2 3 5" xfId="6653" xr:uid="{F4891DFA-CD5A-4AFD-B836-883903CAFD9B}"/>
    <cellStyle name="Įprastas 5 2 3 4 2 3 6" xfId="3197" xr:uid="{1296481B-8D0F-4CBD-9D39-9AA4F474723E}"/>
    <cellStyle name="Įprastas 5 2 3 4 2 3_8 priedas" xfId="1314" xr:uid="{00000000-0005-0000-0000-00009A010000}"/>
    <cellStyle name="Įprastas 5 2 3 4 2 4" xfId="550" xr:uid="{00000000-0005-0000-0000-00009B010000}"/>
    <cellStyle name="Įprastas 5 2 3 4 2 4 2" xfId="1594" xr:uid="{BDA5BCDB-FB99-48A3-9BC7-EE7100C676D7}"/>
    <cellStyle name="Įprastas 5 2 3 4 2 4 2 2" xfId="6155" xr:uid="{B00E7CFD-138B-4CA4-9AC7-4A6E9E7A6A5A}"/>
    <cellStyle name="Įprastas 5 2 3 4 2 4 2 3" xfId="7883" xr:uid="{ADA91C72-215F-4DE2-93E9-A42DF9BDABD9}"/>
    <cellStyle name="Įprastas 5 2 3 4 2 4 2 4" xfId="4427" xr:uid="{15F47FC6-5446-4A36-BB9A-ACAF3069414F}"/>
    <cellStyle name="Įprastas 5 2 3 4 2 4 2_8 priedas" xfId="8909" xr:uid="{34E2D9D3-B1E5-4C21-AFEC-0CAF39768E37}"/>
    <cellStyle name="Įprastas 5 2 3 4 2 4 3" xfId="2698" xr:uid="{5111AF18-9F41-435B-9895-B5188B122012}"/>
    <cellStyle name="Įprastas 5 2 3 4 2 4 3 2" xfId="5291" xr:uid="{C9E09155-E3E9-48EC-AE48-3450E1354C8F}"/>
    <cellStyle name="Įprastas 5 2 3 4 2 4 3_8 priedas" xfId="8910" xr:uid="{6BC8288F-6582-426C-BD12-DAA8540EA76F}"/>
    <cellStyle name="Įprastas 5 2 3 4 2 4 4" xfId="7019" xr:uid="{6D1307BF-767C-4801-8EAD-4589A0A88721}"/>
    <cellStyle name="Įprastas 5 2 3 4 2 4 5" xfId="3563" xr:uid="{3466FC9F-32D9-4838-BA92-FDC9300E2EF4}"/>
    <cellStyle name="Įprastas 5 2 3 4 2 4_8 priedas" xfId="8908" xr:uid="{1AF968C1-9E8A-4733-B903-4ADACC933DA4}"/>
    <cellStyle name="Įprastas 5 2 3 4 2 5" xfId="1595" xr:uid="{5F7E7FA1-2CD5-403C-A525-FB220EF8A120}"/>
    <cellStyle name="Įprastas 5 2 3 4 2 5 2" xfId="5787" xr:uid="{F4876141-8654-4512-8C4B-E27172BD5482}"/>
    <cellStyle name="Įprastas 5 2 3 4 2 5 3" xfId="7515" xr:uid="{5F95FBBF-A433-4D9B-9F0C-C1D36F9D0232}"/>
    <cellStyle name="Įprastas 5 2 3 4 2 5 4" xfId="4059" xr:uid="{39182FA2-F828-48B0-A6E1-114B34E31608}"/>
    <cellStyle name="Įprastas 5 2 3 4 2 5_8 priedas" xfId="8911" xr:uid="{13D78327-38AC-4E91-AAB8-1198D3BAFEEE}"/>
    <cellStyle name="Įprastas 5 2 3 4 2 6" xfId="2330" xr:uid="{8090DBB3-7789-49BD-9E20-CD0B3D51E8CD}"/>
    <cellStyle name="Įprastas 5 2 3 4 2 6 2" xfId="4923" xr:uid="{979582EE-7FDA-4F5E-BFCC-7D7620AC85FD}"/>
    <cellStyle name="Įprastas 5 2 3 4 2 6_8 priedas" xfId="8912" xr:uid="{C3FEE0A8-43CB-46E4-8C75-91257EAB132B}"/>
    <cellStyle name="Įprastas 5 2 3 4 2 7" xfId="6651" xr:uid="{F36AA805-8294-4161-B03A-887B80147553}"/>
    <cellStyle name="Įprastas 5 2 3 4 2 8" xfId="3195" xr:uid="{E6397826-E46E-4A4B-9E90-AB4BF7B3CACC}"/>
    <cellStyle name="Įprastas 5 2 3 4 2_8 priedas" xfId="1223" xr:uid="{00000000-0005-0000-0000-00009C010000}"/>
    <cellStyle name="Įprastas 5 2 3 4 3" xfId="166" xr:uid="{00000000-0005-0000-0000-00009D010000}"/>
    <cellStyle name="Įprastas 5 2 3 4 3 2" xfId="167" xr:uid="{00000000-0005-0000-0000-00009E010000}"/>
    <cellStyle name="Įprastas 5 2 3 4 3 2 2" xfId="742" xr:uid="{00000000-0005-0000-0000-00009F010000}"/>
    <cellStyle name="Įprastas 5 2 3 4 3 2 2 2" xfId="1596" xr:uid="{30C454EA-7221-48FB-A2FD-CB87EEEAB92A}"/>
    <cellStyle name="Įprastas 5 2 3 4 3 2 2 2 2" xfId="6347" xr:uid="{7DCB987F-7C30-426A-A5E0-68C9B4E9DA1A}"/>
    <cellStyle name="Įprastas 5 2 3 4 3 2 2 2 3" xfId="8075" xr:uid="{213B8BEE-1E05-468B-AFEA-CAB12E5A9419}"/>
    <cellStyle name="Įprastas 5 2 3 4 3 2 2 2 4" xfId="4619" xr:uid="{D287D4AF-759E-4B14-9B99-9D1F9EB55988}"/>
    <cellStyle name="Įprastas 5 2 3 4 3 2 2 2_8 priedas" xfId="8914" xr:uid="{EEE7CB61-D313-4ACC-B9C6-0DAD75593D14}"/>
    <cellStyle name="Įprastas 5 2 3 4 3 2 2 3" xfId="2890" xr:uid="{9694C0CE-A1C5-4646-9467-9B4B55475960}"/>
    <cellStyle name="Įprastas 5 2 3 4 3 2 2 3 2" xfId="5483" xr:uid="{BA667B86-F0DC-42D7-89D0-1A13CFDD0963}"/>
    <cellStyle name="Įprastas 5 2 3 4 3 2 2 3_8 priedas" xfId="8915" xr:uid="{D8602E26-4D48-4358-9347-41FD8F8D9189}"/>
    <cellStyle name="Įprastas 5 2 3 4 3 2 2 4" xfId="7211" xr:uid="{70ADA229-222E-434C-9351-99D444334670}"/>
    <cellStyle name="Įprastas 5 2 3 4 3 2 2 5" xfId="3755" xr:uid="{2B881814-30CB-433B-8396-7839A5D1DB2A}"/>
    <cellStyle name="Įprastas 5 2 3 4 3 2 2_8 priedas" xfId="8913" xr:uid="{D8575669-A365-4402-B76B-280E5D2A236A}"/>
    <cellStyle name="Įprastas 5 2 3 4 3 2 3" xfId="1597" xr:uid="{2A8560AB-3ED9-44ED-9788-6212128107CF}"/>
    <cellStyle name="Įprastas 5 2 3 4 3 2 3 2" xfId="5791" xr:uid="{291A776D-DEE0-4733-B486-2B087B8C87E1}"/>
    <cellStyle name="Įprastas 5 2 3 4 3 2 3 3" xfId="7519" xr:uid="{D08E1001-82F3-429F-B54C-E37DB3D97B50}"/>
    <cellStyle name="Įprastas 5 2 3 4 3 2 3 4" xfId="4063" xr:uid="{ACDD7D85-EE32-48B4-AA4F-1D62E74C5C66}"/>
    <cellStyle name="Įprastas 5 2 3 4 3 2 3_8 priedas" xfId="8916" xr:uid="{338BF45E-2947-4BF1-A1B1-757BCB5F91E9}"/>
    <cellStyle name="Įprastas 5 2 3 4 3 2 4" xfId="2334" xr:uid="{0A19AAE2-A85C-4BD7-B44D-F27DEEA66D63}"/>
    <cellStyle name="Įprastas 5 2 3 4 3 2 4 2" xfId="4927" xr:uid="{16FA7E0A-8563-4ECA-958F-904C7C8B24FD}"/>
    <cellStyle name="Įprastas 5 2 3 4 3 2 4_8 priedas" xfId="8917" xr:uid="{93034308-6D4F-4C7E-9F75-DF7041141B88}"/>
    <cellStyle name="Įprastas 5 2 3 4 3 2 5" xfId="6655" xr:uid="{042212BC-7E20-41CE-902E-7DA1E3878E86}"/>
    <cellStyle name="Įprastas 5 2 3 4 3 2 6" xfId="3199" xr:uid="{B0E7FFC8-B82B-4178-8E5F-A3E82F24A96A}"/>
    <cellStyle name="Įprastas 5 2 3 4 3 2_8 priedas" xfId="1041" xr:uid="{00000000-0005-0000-0000-0000A0010000}"/>
    <cellStyle name="Įprastas 5 2 3 4 3 3" xfId="168" xr:uid="{00000000-0005-0000-0000-0000A1010000}"/>
    <cellStyle name="Įprastas 5 2 3 4 3 3 2" xfId="886" xr:uid="{00000000-0005-0000-0000-0000A2010000}"/>
    <cellStyle name="Įprastas 5 2 3 4 3 3 2 2" xfId="1598" xr:uid="{99FFE8CF-076F-4534-B880-8551F0C3BEFC}"/>
    <cellStyle name="Įprastas 5 2 3 4 3 3 2 2 2" xfId="6491" xr:uid="{9B74C304-25E3-4DE9-8D3B-AC4F898A5656}"/>
    <cellStyle name="Įprastas 5 2 3 4 3 3 2 2 3" xfId="8219" xr:uid="{30951164-6A3B-4D59-BEBE-047239BD3005}"/>
    <cellStyle name="Įprastas 5 2 3 4 3 3 2 2 4" xfId="4763" xr:uid="{86094171-A23C-463D-9311-429BDF44D13D}"/>
    <cellStyle name="Įprastas 5 2 3 4 3 3 2 2_8 priedas" xfId="8919" xr:uid="{19A935DE-9F62-4C2F-B590-EB45529D6189}"/>
    <cellStyle name="Įprastas 5 2 3 4 3 3 2 3" xfId="3034" xr:uid="{A83AEE97-0EAC-49F1-8B58-998955D34F25}"/>
    <cellStyle name="Įprastas 5 2 3 4 3 3 2 3 2" xfId="5627" xr:uid="{71BBB106-ABDB-47F7-9C1D-D7703FB5B101}"/>
    <cellStyle name="Įprastas 5 2 3 4 3 3 2 3_8 priedas" xfId="8920" xr:uid="{5EA80B3B-F35F-4909-A449-DECF67EACA52}"/>
    <cellStyle name="Įprastas 5 2 3 4 3 3 2 4" xfId="7355" xr:uid="{29B6B8BF-1B77-4B4D-B71C-532F84FE0BB3}"/>
    <cellStyle name="Įprastas 5 2 3 4 3 3 2 5" xfId="3899" xr:uid="{B733ABFF-E064-466A-AA21-167730ED609D}"/>
    <cellStyle name="Įprastas 5 2 3 4 3 3 2_8 priedas" xfId="8918" xr:uid="{677D56BE-CCA2-4188-9CBB-58D6B4961A07}"/>
    <cellStyle name="Įprastas 5 2 3 4 3 3 3" xfId="1599" xr:uid="{93488FEB-DA83-421A-8E84-345079958049}"/>
    <cellStyle name="Įprastas 5 2 3 4 3 3 3 2" xfId="5792" xr:uid="{8565EA21-BD69-48B5-97F7-A2D492902E94}"/>
    <cellStyle name="Įprastas 5 2 3 4 3 3 3 3" xfId="7520" xr:uid="{99AA6F5F-AF6E-454D-8E42-D4928DA753F3}"/>
    <cellStyle name="Įprastas 5 2 3 4 3 3 3 4" xfId="4064" xr:uid="{CCC4BC17-5D55-4F62-8EDB-FDD781A890F1}"/>
    <cellStyle name="Įprastas 5 2 3 4 3 3 3_8 priedas" xfId="8921" xr:uid="{2CA34798-6087-4B7B-A065-6EBD7ABE5364}"/>
    <cellStyle name="Įprastas 5 2 3 4 3 3 4" xfId="2335" xr:uid="{75B5E1DC-E5E9-4710-8442-42C26B60AE50}"/>
    <cellStyle name="Įprastas 5 2 3 4 3 3 4 2" xfId="4928" xr:uid="{8288824D-8407-4999-BE0C-90F7AE1C2F32}"/>
    <cellStyle name="Įprastas 5 2 3 4 3 3 4_8 priedas" xfId="8922" xr:uid="{C9A3172A-7996-405D-AB4E-070D16B1988A}"/>
    <cellStyle name="Įprastas 5 2 3 4 3 3 5" xfId="6656" xr:uid="{2851CB9A-8385-49F6-8401-60D5837B18E4}"/>
    <cellStyle name="Įprastas 5 2 3 4 3 3 6" xfId="3200" xr:uid="{D0F19E89-537A-4F4F-A722-8E49B0FF37A8}"/>
    <cellStyle name="Įprastas 5 2 3 4 3 3_8 priedas" xfId="1265" xr:uid="{00000000-0005-0000-0000-0000A3010000}"/>
    <cellStyle name="Įprastas 5 2 3 4 3 4" xfId="598" xr:uid="{00000000-0005-0000-0000-0000A4010000}"/>
    <cellStyle name="Įprastas 5 2 3 4 3 4 2" xfId="1600" xr:uid="{BFD594CC-E817-4D3E-8FE4-54498A5B10A2}"/>
    <cellStyle name="Įprastas 5 2 3 4 3 4 2 2" xfId="6203" xr:uid="{B731B524-FAC4-4CB5-8E6A-AC5330538962}"/>
    <cellStyle name="Įprastas 5 2 3 4 3 4 2 3" xfId="7931" xr:uid="{5CA1B649-31C4-4B41-9869-E6E6C12A9208}"/>
    <cellStyle name="Įprastas 5 2 3 4 3 4 2 4" xfId="4475" xr:uid="{4DD5CF77-3D2F-4CA7-95C3-5BB8370BB18A}"/>
    <cellStyle name="Įprastas 5 2 3 4 3 4 2_8 priedas" xfId="8924" xr:uid="{A5675507-D1F2-481F-BB9E-0E55662456EF}"/>
    <cellStyle name="Įprastas 5 2 3 4 3 4 3" xfId="2746" xr:uid="{8A9E1308-033E-43C8-8FD6-0318769093B8}"/>
    <cellStyle name="Įprastas 5 2 3 4 3 4 3 2" xfId="5339" xr:uid="{5F51885D-8928-4BB5-872F-F8C7B4AFC40E}"/>
    <cellStyle name="Įprastas 5 2 3 4 3 4 3_8 priedas" xfId="8925" xr:uid="{9E2816C8-3508-4183-B636-B1E8DD425A09}"/>
    <cellStyle name="Įprastas 5 2 3 4 3 4 4" xfId="7067" xr:uid="{29F42F7A-1AA1-4216-B95A-3C758364D267}"/>
    <cellStyle name="Įprastas 5 2 3 4 3 4 5" xfId="3611" xr:uid="{CF49D8DC-4B6F-4BCD-AA0F-4016B9A1E8E7}"/>
    <cellStyle name="Įprastas 5 2 3 4 3 4_8 priedas" xfId="8923" xr:uid="{95FEB857-72B1-4979-8249-DA2ABAB40063}"/>
    <cellStyle name="Įprastas 5 2 3 4 3 5" xfId="1601" xr:uid="{836876E0-DFCD-4F80-9D52-8C76B03509B5}"/>
    <cellStyle name="Įprastas 5 2 3 4 3 5 2" xfId="5790" xr:uid="{3260F702-1C47-4144-975F-EEC0C11CDA95}"/>
    <cellStyle name="Įprastas 5 2 3 4 3 5 3" xfId="7518" xr:uid="{BB17E3A8-DAE3-4B4E-B208-0B063A7FAB74}"/>
    <cellStyle name="Įprastas 5 2 3 4 3 5 4" xfId="4062" xr:uid="{7FACD767-97F0-470E-A3FA-A5AC28DC58F9}"/>
    <cellStyle name="Įprastas 5 2 3 4 3 5_8 priedas" xfId="8926" xr:uid="{13B3AB04-7704-4881-A21C-DF256985978B}"/>
    <cellStyle name="Įprastas 5 2 3 4 3 6" xfId="2333" xr:uid="{D41073C3-8D2A-437C-BA2E-5C9AC8E5EDCC}"/>
    <cellStyle name="Įprastas 5 2 3 4 3 6 2" xfId="4926" xr:uid="{E60249D7-8C21-447B-81E1-7E552E8299FD}"/>
    <cellStyle name="Įprastas 5 2 3 4 3 6_8 priedas" xfId="8927" xr:uid="{BB135004-7E11-446F-A631-9A20720A0D76}"/>
    <cellStyle name="Įprastas 5 2 3 4 3 7" xfId="6654" xr:uid="{75DED12C-0343-4545-BA3D-3E35852A8BCE}"/>
    <cellStyle name="Įprastas 5 2 3 4 3 8" xfId="3198" xr:uid="{65E68D0B-7C45-4830-B304-4EF37E3A0AD0}"/>
    <cellStyle name="Įprastas 5 2 3 4 3_8 priedas" xfId="1177" xr:uid="{00000000-0005-0000-0000-0000A5010000}"/>
    <cellStyle name="Įprastas 5 2 3 4 4" xfId="169" xr:uid="{00000000-0005-0000-0000-0000A6010000}"/>
    <cellStyle name="Įprastas 5 2 3 4 4 2" xfId="646" xr:uid="{00000000-0005-0000-0000-0000A7010000}"/>
    <cellStyle name="Įprastas 5 2 3 4 4 2 2" xfId="1602" xr:uid="{74FE172D-E67E-4457-9E83-4651BF7F5FCA}"/>
    <cellStyle name="Įprastas 5 2 3 4 4 2 2 2" xfId="6251" xr:uid="{C74ADEEC-068C-415A-AAFE-9414616AFA80}"/>
    <cellStyle name="Įprastas 5 2 3 4 4 2 2 3" xfId="7979" xr:uid="{80190914-C053-4D46-BF8A-B4C151FFAA38}"/>
    <cellStyle name="Įprastas 5 2 3 4 4 2 2 4" xfId="4523" xr:uid="{A5303A03-7AF1-4F5D-9F29-9AE9E48E20EA}"/>
    <cellStyle name="Įprastas 5 2 3 4 4 2 2_8 priedas" xfId="8929" xr:uid="{8C8FC70B-ABA8-49AE-880E-BAF3A0FCCA56}"/>
    <cellStyle name="Įprastas 5 2 3 4 4 2 3" xfId="2794" xr:uid="{9DE09FAA-7159-41EF-95EC-AF4A0BD76725}"/>
    <cellStyle name="Įprastas 5 2 3 4 4 2 3 2" xfId="5387" xr:uid="{B37E3B39-A4B2-4E7D-B641-7E81F8C1A50C}"/>
    <cellStyle name="Įprastas 5 2 3 4 4 2 3_8 priedas" xfId="8930" xr:uid="{AC6652A9-DEC4-4849-9DDB-1FF41C5C166B}"/>
    <cellStyle name="Įprastas 5 2 3 4 4 2 4" xfId="7115" xr:uid="{E3EAF53C-9787-4C21-9A13-1605524B30C6}"/>
    <cellStyle name="Įprastas 5 2 3 4 4 2 5" xfId="3659" xr:uid="{36388108-94F9-44E1-8B9E-3382869733DF}"/>
    <cellStyle name="Įprastas 5 2 3 4 4 2_8 priedas" xfId="8928" xr:uid="{AC56B847-E1A7-4DA3-B67F-D1349C85D699}"/>
    <cellStyle name="Įprastas 5 2 3 4 4 3" xfId="1603" xr:uid="{9B6AC427-E69E-4685-AE2E-1474345D00FD}"/>
    <cellStyle name="Įprastas 5 2 3 4 4 3 2" xfId="5793" xr:uid="{28401070-FFF1-4AE2-90EB-8267C15FBDE0}"/>
    <cellStyle name="Įprastas 5 2 3 4 4 3 3" xfId="7521" xr:uid="{9284ADFF-B81B-4E61-8D2F-495510525059}"/>
    <cellStyle name="Įprastas 5 2 3 4 4 3 4" xfId="4065" xr:uid="{5DF2323A-B7E9-4EB2-A215-D996BC874A19}"/>
    <cellStyle name="Įprastas 5 2 3 4 4 3_8 priedas" xfId="8931" xr:uid="{5DAEF551-905A-4E03-B895-090B328B54BC}"/>
    <cellStyle name="Įprastas 5 2 3 4 4 4" xfId="2336" xr:uid="{8473CCC0-BF51-490F-B9BD-709C000CE24D}"/>
    <cellStyle name="Įprastas 5 2 3 4 4 4 2" xfId="4929" xr:uid="{2A11C8E1-F5C1-4592-89A1-83F590B34B51}"/>
    <cellStyle name="Įprastas 5 2 3 4 4 4_8 priedas" xfId="8932" xr:uid="{37EC7ADE-3284-4602-9E1A-391FA5A916F0}"/>
    <cellStyle name="Įprastas 5 2 3 4 4 5" xfId="6657" xr:uid="{3803B893-BD4F-4BED-ABA6-0E8667179569}"/>
    <cellStyle name="Įprastas 5 2 3 4 4 6" xfId="3201" xr:uid="{D60CBBB3-C92E-47E3-B470-2A96391ED060}"/>
    <cellStyle name="Įprastas 5 2 3 4 4_8 priedas" xfId="1129" xr:uid="{00000000-0005-0000-0000-0000A8010000}"/>
    <cellStyle name="Įprastas 5 2 3 4 5" xfId="170" xr:uid="{00000000-0005-0000-0000-0000A9010000}"/>
    <cellStyle name="Įprastas 5 2 3 4 5 2" xfId="790" xr:uid="{00000000-0005-0000-0000-0000AA010000}"/>
    <cellStyle name="Įprastas 5 2 3 4 5 2 2" xfId="1604" xr:uid="{16610210-8D2A-458D-8699-22AA348E61EF}"/>
    <cellStyle name="Įprastas 5 2 3 4 5 2 2 2" xfId="6395" xr:uid="{BED4ED88-CA3D-4241-A9E6-26B743906127}"/>
    <cellStyle name="Įprastas 5 2 3 4 5 2 2 3" xfId="8123" xr:uid="{03A036E1-5E00-417C-BC0F-30A6CA905399}"/>
    <cellStyle name="Įprastas 5 2 3 4 5 2 2 4" xfId="4667" xr:uid="{9FB81DF7-3B7C-48FC-A16C-B6C48DC42570}"/>
    <cellStyle name="Įprastas 5 2 3 4 5 2 2_8 priedas" xfId="8934" xr:uid="{922336E0-8D47-458E-B0C9-2046E93FEC3F}"/>
    <cellStyle name="Įprastas 5 2 3 4 5 2 3" xfId="2938" xr:uid="{2CC49414-F545-4DE2-8573-99BE7619A46F}"/>
    <cellStyle name="Įprastas 5 2 3 4 5 2 3 2" xfId="5531" xr:uid="{873FCDEE-323F-4806-A36D-32EE03CECD37}"/>
    <cellStyle name="Įprastas 5 2 3 4 5 2 3_8 priedas" xfId="8935" xr:uid="{9AF6D434-6CAC-409B-AFE5-CC104FA26677}"/>
    <cellStyle name="Įprastas 5 2 3 4 5 2 4" xfId="7259" xr:uid="{2A22578D-2B58-45C2-9F1B-EBD985BA48B9}"/>
    <cellStyle name="Įprastas 5 2 3 4 5 2 5" xfId="3803" xr:uid="{B3F49426-119A-4D57-9824-6EEBFEE3DBA8}"/>
    <cellStyle name="Įprastas 5 2 3 4 5 2_8 priedas" xfId="8933" xr:uid="{C569CBE5-9788-45A5-91DF-E841003BA3F7}"/>
    <cellStyle name="Įprastas 5 2 3 4 5 3" xfId="1605" xr:uid="{8D99C9A2-6209-4269-828B-5047D088DDEC}"/>
    <cellStyle name="Įprastas 5 2 3 4 5 3 2" xfId="5794" xr:uid="{DB41C539-E544-4A30-B5BA-DB98AB0E261F}"/>
    <cellStyle name="Įprastas 5 2 3 4 5 3 3" xfId="7522" xr:uid="{58D04FA6-83B1-4A48-A63B-D501E56C5E97}"/>
    <cellStyle name="Įprastas 5 2 3 4 5 3 4" xfId="4066" xr:uid="{F8F18588-5E6B-4BED-BF39-C594F4D09C94}"/>
    <cellStyle name="Įprastas 5 2 3 4 5 3_8 priedas" xfId="8936" xr:uid="{C14A96BA-EAE9-476B-BA71-0ED876BB1E7A}"/>
    <cellStyle name="Įprastas 5 2 3 4 5 4" xfId="2337" xr:uid="{2B2D2020-6422-4F7D-840D-9570DA94AEDD}"/>
    <cellStyle name="Įprastas 5 2 3 4 5 4 2" xfId="4930" xr:uid="{3911F02B-648C-46AB-87C7-93F230D22985}"/>
    <cellStyle name="Įprastas 5 2 3 4 5 4_8 priedas" xfId="8937" xr:uid="{17D9B8AE-8BC6-4437-9C79-BF17A90DE395}"/>
    <cellStyle name="Įprastas 5 2 3 4 5 5" xfId="6658" xr:uid="{8DB2FDA7-2C48-4A41-ADD8-25825F87BD3D}"/>
    <cellStyle name="Įprastas 5 2 3 4 5 6" xfId="3202" xr:uid="{14C037FA-5A40-4254-B4F3-4264984CB60E}"/>
    <cellStyle name="Įprastas 5 2 3 4 5_8 priedas" xfId="993" xr:uid="{00000000-0005-0000-0000-0000AB010000}"/>
    <cellStyle name="Įprastas 5 2 3 4 6" xfId="502" xr:uid="{00000000-0005-0000-0000-0000AC010000}"/>
    <cellStyle name="Įprastas 5 2 3 4 6 2" xfId="1606" xr:uid="{229A8E06-06D1-4478-8EA4-000CF397A253}"/>
    <cellStyle name="Įprastas 5 2 3 4 6 2 2" xfId="6107" xr:uid="{7EE9968F-DE2F-4070-A37E-278157D09199}"/>
    <cellStyle name="Įprastas 5 2 3 4 6 2 3" xfId="7835" xr:uid="{E1D46794-21C7-4618-BCB9-7CD6A85D0249}"/>
    <cellStyle name="Įprastas 5 2 3 4 6 2 4" xfId="4379" xr:uid="{7F82CF9B-DBB1-477E-94BD-37AF3E4C6242}"/>
    <cellStyle name="Įprastas 5 2 3 4 6 2_8 priedas" xfId="8939" xr:uid="{DF410DAD-DEAE-41CC-A030-6BEEE2BC9275}"/>
    <cellStyle name="Įprastas 5 2 3 4 6 3" xfId="2650" xr:uid="{4BCFC998-2225-4980-9496-241C05D2A089}"/>
    <cellStyle name="Įprastas 5 2 3 4 6 3 2" xfId="5243" xr:uid="{E61ABD5A-7C61-4C77-94A8-AB13247D7FB0}"/>
    <cellStyle name="Įprastas 5 2 3 4 6 3_8 priedas" xfId="8940" xr:uid="{B3A78B85-0981-4842-8DCD-87EC1E9D80FC}"/>
    <cellStyle name="Įprastas 5 2 3 4 6 4" xfId="6971" xr:uid="{FA3D6F40-D0C2-4B54-85E8-7E9937977B04}"/>
    <cellStyle name="Įprastas 5 2 3 4 6 5" xfId="3515" xr:uid="{144256B4-8248-490E-95E4-9E045FD76EC1}"/>
    <cellStyle name="Įprastas 5 2 3 4 6_8 priedas" xfId="8938" xr:uid="{9659AD0A-4309-4E25-A691-2C852E405811}"/>
    <cellStyle name="Įprastas 5 2 3 4 7" xfId="1607" xr:uid="{115958A3-5FF7-4562-9338-75E615816EB5}"/>
    <cellStyle name="Įprastas 5 2 3 4 7 2" xfId="5786" xr:uid="{F3164318-2909-43F5-B895-C2D2D21D5B6C}"/>
    <cellStyle name="Įprastas 5 2 3 4 7 3" xfId="7514" xr:uid="{10BB568E-F851-4E30-B4D7-5F6ADACD68AF}"/>
    <cellStyle name="Įprastas 5 2 3 4 7 4" xfId="4058" xr:uid="{34787F3F-0D84-4627-863E-7BFBEEDDA397}"/>
    <cellStyle name="Įprastas 5 2 3 4 7_8 priedas" xfId="8941" xr:uid="{A0E17CE8-CCB3-4009-81C4-CC37D5738ED7}"/>
    <cellStyle name="Įprastas 5 2 3 4 8" xfId="2329" xr:uid="{B8C803B7-57A9-4B70-8A83-DFEB5B1CF237}"/>
    <cellStyle name="Įprastas 5 2 3 4 8 2" xfId="4922" xr:uid="{820B28E5-967A-4AE2-89C8-C3AA07B60CBE}"/>
    <cellStyle name="Įprastas 5 2 3 4 8_8 priedas" xfId="8942" xr:uid="{E93EBAC6-CBE8-402B-945C-7DBEC1754424}"/>
    <cellStyle name="Įprastas 5 2 3 4 9" xfId="6650" xr:uid="{72CC105D-4A77-435B-8F86-01A591A1230C}"/>
    <cellStyle name="Įprastas 5 2 3 4_8 priedas" xfId="977" xr:uid="{00000000-0005-0000-0000-0000AD010000}"/>
    <cellStyle name="Įprastas 5 2 3 5" xfId="171" xr:uid="{00000000-0005-0000-0000-0000AE010000}"/>
    <cellStyle name="Įprastas 5 2 3 5 2" xfId="172" xr:uid="{00000000-0005-0000-0000-0000AF010000}"/>
    <cellStyle name="Įprastas 5 2 3 5 2 2" xfId="670" xr:uid="{00000000-0005-0000-0000-0000B0010000}"/>
    <cellStyle name="Įprastas 5 2 3 5 2 2 2" xfId="1608" xr:uid="{94041D63-DE3A-405B-B087-3AD016BE758C}"/>
    <cellStyle name="Įprastas 5 2 3 5 2 2 2 2" xfId="6275" xr:uid="{FB436025-EC95-42F9-86CA-56E2F23E049D}"/>
    <cellStyle name="Įprastas 5 2 3 5 2 2 2 3" xfId="8003" xr:uid="{35ECBA1E-344A-475A-B4F5-11101B458FF8}"/>
    <cellStyle name="Įprastas 5 2 3 5 2 2 2 4" xfId="4547" xr:uid="{931814A9-A40B-42BA-AF2E-FADA1923935F}"/>
    <cellStyle name="Įprastas 5 2 3 5 2 2 2_8 priedas" xfId="8944" xr:uid="{B9C0ABE2-60BD-43E4-BD12-805DB87AF382}"/>
    <cellStyle name="Įprastas 5 2 3 5 2 2 3" xfId="2818" xr:uid="{DAFA0D66-D248-48FC-AA89-DFCDF39AD2D6}"/>
    <cellStyle name="Įprastas 5 2 3 5 2 2 3 2" xfId="5411" xr:uid="{77622C01-F5FD-4FED-B4A0-43F7504AC184}"/>
    <cellStyle name="Įprastas 5 2 3 5 2 2 3_8 priedas" xfId="8945" xr:uid="{F3A793CA-D668-4BDA-AD41-1691C00C0DD5}"/>
    <cellStyle name="Įprastas 5 2 3 5 2 2 4" xfId="7139" xr:uid="{3022DC29-9D8D-4FE7-95C1-E53C5BBBC8C4}"/>
    <cellStyle name="Įprastas 5 2 3 5 2 2 5" xfId="3683" xr:uid="{A11E0DD3-4BCA-4E0D-8E81-FF68F3A7077D}"/>
    <cellStyle name="Įprastas 5 2 3 5 2 2_8 priedas" xfId="8943" xr:uid="{276B1DD3-0CAF-40BC-AD16-02F8C6321704}"/>
    <cellStyle name="Įprastas 5 2 3 5 2 3" xfId="1609" xr:uid="{C9412E07-5D8E-4FF3-B18D-68507A4B453F}"/>
    <cellStyle name="Įprastas 5 2 3 5 2 3 2" xfId="5796" xr:uid="{870AC7B0-74F8-4754-A717-50886D539033}"/>
    <cellStyle name="Įprastas 5 2 3 5 2 3 3" xfId="7524" xr:uid="{E6028989-FBD4-4713-A1D1-7E074ADF49A5}"/>
    <cellStyle name="Įprastas 5 2 3 5 2 3 4" xfId="4068" xr:uid="{D66B1BFD-9C63-480A-A625-33877A7CF65B}"/>
    <cellStyle name="Įprastas 5 2 3 5 2 3_8 priedas" xfId="8946" xr:uid="{7D7DB562-57FC-4911-840A-929BCE646E8B}"/>
    <cellStyle name="Įprastas 5 2 3 5 2 4" xfId="2339" xr:uid="{044B8E20-B875-481B-9799-1DDC5C40A812}"/>
    <cellStyle name="Įprastas 5 2 3 5 2 4 2" xfId="4932" xr:uid="{E0482815-5957-4A81-9A98-9DC5BCEFADE8}"/>
    <cellStyle name="Įprastas 5 2 3 5 2 4_8 priedas" xfId="8947" xr:uid="{9F8947D5-B35A-4B85-926C-46D4EAFD8F41}"/>
    <cellStyle name="Įprastas 5 2 3 5 2 5" xfId="6660" xr:uid="{871DBF1D-1B7E-4D45-A278-1005BBDDEA2E}"/>
    <cellStyle name="Įprastas 5 2 3 5 2 6" xfId="3204" xr:uid="{A4E0394C-2E53-4327-B141-89126D42FD51}"/>
    <cellStyle name="Įprastas 5 2 3 5 2_8 priedas" xfId="1211" xr:uid="{00000000-0005-0000-0000-0000B1010000}"/>
    <cellStyle name="Įprastas 5 2 3 5 3" xfId="173" xr:uid="{00000000-0005-0000-0000-0000B2010000}"/>
    <cellStyle name="Įprastas 5 2 3 5 3 2" xfId="814" xr:uid="{00000000-0005-0000-0000-0000B3010000}"/>
    <cellStyle name="Įprastas 5 2 3 5 3 2 2" xfId="1610" xr:uid="{A510EFA5-96F8-495F-A51C-F7DDB9E64DDA}"/>
    <cellStyle name="Įprastas 5 2 3 5 3 2 2 2" xfId="6419" xr:uid="{7ACECF5A-8CF8-413E-B412-CFCDA0E39DDF}"/>
    <cellStyle name="Įprastas 5 2 3 5 3 2 2 3" xfId="8147" xr:uid="{E79FA50F-FD22-4033-A1DA-60B4F152EA70}"/>
    <cellStyle name="Įprastas 5 2 3 5 3 2 2 4" xfId="4691" xr:uid="{85658280-081A-4407-B8E8-D3F97540435C}"/>
    <cellStyle name="Įprastas 5 2 3 5 3 2 2_8 priedas" xfId="8949" xr:uid="{FCF1671D-307E-4095-BA08-29FEB11E1BC2}"/>
    <cellStyle name="Įprastas 5 2 3 5 3 2 3" xfId="2962" xr:uid="{F86D4E7D-92D9-4AFA-9E9D-7B53B5F9B5BF}"/>
    <cellStyle name="Įprastas 5 2 3 5 3 2 3 2" xfId="5555" xr:uid="{D3161A01-5A4F-4271-8C22-4B467C68F5EE}"/>
    <cellStyle name="Įprastas 5 2 3 5 3 2 3_8 priedas" xfId="8950" xr:uid="{634C6AD8-B90A-4332-ADAF-36AAB0D5655F}"/>
    <cellStyle name="Įprastas 5 2 3 5 3 2 4" xfId="7283" xr:uid="{07BC5352-6CB3-4542-962D-145507918ECA}"/>
    <cellStyle name="Įprastas 5 2 3 5 3 2 5" xfId="3827" xr:uid="{8D7AFDCC-2CB6-4BE7-8421-2DFC583D1F23}"/>
    <cellStyle name="Įprastas 5 2 3 5 3 2_8 priedas" xfId="8948" xr:uid="{70626026-60ED-475A-A3B6-CC1CC312FC51}"/>
    <cellStyle name="Įprastas 5 2 3 5 3 3" xfId="1611" xr:uid="{A9066C25-4C6D-4314-854E-B9A650312368}"/>
    <cellStyle name="Įprastas 5 2 3 5 3 3 2" xfId="5797" xr:uid="{B9B8D425-005A-4DA2-ADC6-EF5EB54217AF}"/>
    <cellStyle name="Įprastas 5 2 3 5 3 3 3" xfId="7525" xr:uid="{15335857-6256-4AE8-BE07-2854654C80CE}"/>
    <cellStyle name="Įprastas 5 2 3 5 3 3 4" xfId="4069" xr:uid="{1E0E446E-8C60-4986-B359-71E6867C8E6A}"/>
    <cellStyle name="Įprastas 5 2 3 5 3 3_8 priedas" xfId="8951" xr:uid="{7C33075F-7833-4186-8894-38747FB42191}"/>
    <cellStyle name="Įprastas 5 2 3 5 3 4" xfId="2340" xr:uid="{4E459D9F-12CC-42C5-851D-615617E39B3D}"/>
    <cellStyle name="Įprastas 5 2 3 5 3 4 2" xfId="4933" xr:uid="{E03EDDAA-07C0-45C3-9F12-28007EF542D7}"/>
    <cellStyle name="Įprastas 5 2 3 5 3 4_8 priedas" xfId="8952" xr:uid="{4008B50D-0E7E-43A4-AA5E-1032A8FC241B}"/>
    <cellStyle name="Įprastas 5 2 3 5 3 5" xfId="6661" xr:uid="{BF8E4F73-E6E1-4721-B9A5-BD09E0F45E3C}"/>
    <cellStyle name="Įprastas 5 2 3 5 3 6" xfId="3205" xr:uid="{91C2DF3F-D3DD-4890-9054-033694D25BB2}"/>
    <cellStyle name="Įprastas 5 2 3 5 3_8 priedas" xfId="1077" xr:uid="{00000000-0005-0000-0000-0000B4010000}"/>
    <cellStyle name="Įprastas 5 2 3 5 4" xfId="526" xr:uid="{00000000-0005-0000-0000-0000B5010000}"/>
    <cellStyle name="Įprastas 5 2 3 5 4 2" xfId="1612" xr:uid="{B201AA9E-562E-4A17-B9AB-B675CC9B058A}"/>
    <cellStyle name="Įprastas 5 2 3 5 4 2 2" xfId="6131" xr:uid="{BC20667E-A80C-462A-BC05-06B991D72678}"/>
    <cellStyle name="Įprastas 5 2 3 5 4 2 3" xfId="7859" xr:uid="{CAC6F5D8-C1B8-4389-8FF6-BFEB0DE9DD6A}"/>
    <cellStyle name="Įprastas 5 2 3 5 4 2 4" xfId="4403" xr:uid="{97CD7807-2616-4981-84BC-5F4689D24230}"/>
    <cellStyle name="Įprastas 5 2 3 5 4 2_8 priedas" xfId="8954" xr:uid="{16425193-BD56-4242-A888-F29E8ED30B28}"/>
    <cellStyle name="Įprastas 5 2 3 5 4 3" xfId="2674" xr:uid="{77F2A7C0-0B14-41DC-9C6E-F2A13CFC9109}"/>
    <cellStyle name="Įprastas 5 2 3 5 4 3 2" xfId="5267" xr:uid="{5CD50CF6-826C-4C08-9103-60752AEFE73E}"/>
    <cellStyle name="Įprastas 5 2 3 5 4 3_8 priedas" xfId="8955" xr:uid="{D783C9E9-C991-4886-A86D-A43882F8A969}"/>
    <cellStyle name="Įprastas 5 2 3 5 4 4" xfId="6995" xr:uid="{BDD8BB2A-0BDA-42A9-A4A0-4C85EDFE78C9}"/>
    <cellStyle name="Įprastas 5 2 3 5 4 5" xfId="3539" xr:uid="{81642443-E5E0-40C7-AC3D-93371619036F}"/>
    <cellStyle name="Įprastas 5 2 3 5 4_8 priedas" xfId="8953" xr:uid="{D441DDE9-0FBB-466F-A965-4F6636698BB0}"/>
    <cellStyle name="Įprastas 5 2 3 5 5" xfId="1613" xr:uid="{8E2FB63C-E9C3-4FCF-9163-6B55ACE47367}"/>
    <cellStyle name="Įprastas 5 2 3 5 5 2" xfId="5795" xr:uid="{A8485ED7-8725-43BD-BE04-03E682BD0F8A}"/>
    <cellStyle name="Įprastas 5 2 3 5 5 3" xfId="7523" xr:uid="{5FEEC91D-B074-46EA-8820-9B163E6E9C8A}"/>
    <cellStyle name="Įprastas 5 2 3 5 5 4" xfId="4067" xr:uid="{18DFAFA1-EEC0-4590-B4A2-E2B8988A4AE5}"/>
    <cellStyle name="Įprastas 5 2 3 5 5_8 priedas" xfId="8956" xr:uid="{47244BBB-67DF-4C4D-80C1-72EEF1289B4B}"/>
    <cellStyle name="Įprastas 5 2 3 5 6" xfId="2338" xr:uid="{9F4A36C1-BF69-4832-AFE1-423740BCCE33}"/>
    <cellStyle name="Įprastas 5 2 3 5 6 2" xfId="4931" xr:uid="{332943FB-2A3E-4065-9693-E691AB8A8133}"/>
    <cellStyle name="Įprastas 5 2 3 5 6_8 priedas" xfId="8957" xr:uid="{8F10FB26-FD4A-45DE-B525-301CEA96A9AE}"/>
    <cellStyle name="Įprastas 5 2 3 5 7" xfId="6659" xr:uid="{C1CF7330-1DAE-4B0A-9DAE-8880F337600C}"/>
    <cellStyle name="Įprastas 5 2 3 5 8" xfId="3203" xr:uid="{13801D34-3448-400F-99A2-488257CCB18F}"/>
    <cellStyle name="Įprastas 5 2 3 5_8 priedas" xfId="952" xr:uid="{00000000-0005-0000-0000-0000B6010000}"/>
    <cellStyle name="Įprastas 5 2 3 6" xfId="174" xr:uid="{00000000-0005-0000-0000-0000B7010000}"/>
    <cellStyle name="Įprastas 5 2 3 6 2" xfId="175" xr:uid="{00000000-0005-0000-0000-0000B8010000}"/>
    <cellStyle name="Įprastas 5 2 3 6 2 2" xfId="718" xr:uid="{00000000-0005-0000-0000-0000B9010000}"/>
    <cellStyle name="Įprastas 5 2 3 6 2 2 2" xfId="1614" xr:uid="{AEF02287-645E-450B-92D8-A068C9B06138}"/>
    <cellStyle name="Įprastas 5 2 3 6 2 2 2 2" xfId="6323" xr:uid="{7326648A-2D7E-486D-B1BC-68AFD3F5C17F}"/>
    <cellStyle name="Įprastas 5 2 3 6 2 2 2 3" xfId="8051" xr:uid="{714E5855-EC64-4B4D-A201-8DEC49A0B1A5}"/>
    <cellStyle name="Įprastas 5 2 3 6 2 2 2 4" xfId="4595" xr:uid="{D283ECD4-2A67-4147-8FCB-CAA80F7D18C9}"/>
    <cellStyle name="Įprastas 5 2 3 6 2 2 2_8 priedas" xfId="8959" xr:uid="{22989F95-0674-4651-B502-402322582506}"/>
    <cellStyle name="Įprastas 5 2 3 6 2 2 3" xfId="2866" xr:uid="{20729905-6101-40D0-9A5E-DE554D4E972F}"/>
    <cellStyle name="Įprastas 5 2 3 6 2 2 3 2" xfId="5459" xr:uid="{243F8FA9-3167-4707-9B1F-77D77C9591CA}"/>
    <cellStyle name="Įprastas 5 2 3 6 2 2 3_8 priedas" xfId="8960" xr:uid="{FEE4DCDC-2FA1-4099-B8E9-B1E696E2932D}"/>
    <cellStyle name="Įprastas 5 2 3 6 2 2 4" xfId="7187" xr:uid="{BE5D2781-9969-4309-98AD-538A49DC9784}"/>
    <cellStyle name="Įprastas 5 2 3 6 2 2 5" xfId="3731" xr:uid="{CB428EC0-6070-4FBA-9FFF-2A6CD54527DA}"/>
    <cellStyle name="Įprastas 5 2 3 6 2 2_8 priedas" xfId="8958" xr:uid="{C1ED7C51-1262-4F3C-9410-9F6060D425F4}"/>
    <cellStyle name="Įprastas 5 2 3 6 2 3" xfId="1615" xr:uid="{800CF4B0-8DD8-442F-AECA-BEE41E458FA6}"/>
    <cellStyle name="Įprastas 5 2 3 6 2 3 2" xfId="5799" xr:uid="{DD54951C-9C20-4B56-86FC-5CC9A18CB857}"/>
    <cellStyle name="Įprastas 5 2 3 6 2 3 3" xfId="7527" xr:uid="{AD111BB0-755F-49B6-B72A-DEDF9797A502}"/>
    <cellStyle name="Įprastas 5 2 3 6 2 3 4" xfId="4071" xr:uid="{77FDCF53-7C3F-4AC8-BE68-7DEE713EB1A1}"/>
    <cellStyle name="Įprastas 5 2 3 6 2 3_8 priedas" xfId="8961" xr:uid="{D2507319-96E0-4391-8AC7-32FE68E313A7}"/>
    <cellStyle name="Įprastas 5 2 3 6 2 4" xfId="2342" xr:uid="{FE5C3C3B-8E41-4084-BE0A-ACDA6115C684}"/>
    <cellStyle name="Įprastas 5 2 3 6 2 4 2" xfId="4935" xr:uid="{F854B86E-A903-4F16-8153-CE10A0F43FC8}"/>
    <cellStyle name="Įprastas 5 2 3 6 2 4_8 priedas" xfId="8962" xr:uid="{430F4E94-FEBB-4C0B-A3C1-B03443DC008F}"/>
    <cellStyle name="Įprastas 5 2 3 6 2 5" xfId="6663" xr:uid="{F63F3EA8-6B7A-4583-8688-F9BB8BDE950B}"/>
    <cellStyle name="Įprastas 5 2 3 6 2 6" xfId="3207" xr:uid="{A928B269-56F9-4C4C-92A5-623B88431C02}"/>
    <cellStyle name="Įprastas 5 2 3 6 2_8 priedas" xfId="1165" xr:uid="{00000000-0005-0000-0000-0000BA010000}"/>
    <cellStyle name="Įprastas 5 2 3 6 3" xfId="176" xr:uid="{00000000-0005-0000-0000-0000BB010000}"/>
    <cellStyle name="Įprastas 5 2 3 6 3 2" xfId="862" xr:uid="{00000000-0005-0000-0000-0000BC010000}"/>
    <cellStyle name="Įprastas 5 2 3 6 3 2 2" xfId="1616" xr:uid="{2B884BCF-B81A-4C6A-A617-888A61BC7603}"/>
    <cellStyle name="Įprastas 5 2 3 6 3 2 2 2" xfId="6467" xr:uid="{1DCC769D-D484-4615-9F35-5B5463734027}"/>
    <cellStyle name="Įprastas 5 2 3 6 3 2 2 3" xfId="8195" xr:uid="{1607B807-DC42-49DB-829D-0192E9ECDC05}"/>
    <cellStyle name="Įprastas 5 2 3 6 3 2 2 4" xfId="4739" xr:uid="{7D796B79-5D43-4694-9C07-8BBB78DA330E}"/>
    <cellStyle name="Įprastas 5 2 3 6 3 2 2_8 priedas" xfId="8964" xr:uid="{E2098E23-3C57-4156-A8D3-359677966A39}"/>
    <cellStyle name="Įprastas 5 2 3 6 3 2 3" xfId="3010" xr:uid="{1DC7BEBD-9C20-4EA6-B4AF-F2EBF69F97A0}"/>
    <cellStyle name="Įprastas 5 2 3 6 3 2 3 2" xfId="5603" xr:uid="{863367FE-F43E-4D4D-8E1E-F8976759F7D4}"/>
    <cellStyle name="Įprastas 5 2 3 6 3 2 3_8 priedas" xfId="8965" xr:uid="{137E9C51-8AF1-4CB9-89F0-C975EB703428}"/>
    <cellStyle name="Įprastas 5 2 3 6 3 2 4" xfId="7331" xr:uid="{4544EFD5-9AA7-4245-AEA3-224CA34ABD8E}"/>
    <cellStyle name="Įprastas 5 2 3 6 3 2 5" xfId="3875" xr:uid="{B20F2764-3EA1-422C-AF60-F234C8691D6A}"/>
    <cellStyle name="Įprastas 5 2 3 6 3 2_8 priedas" xfId="8963" xr:uid="{468D0C91-D521-4856-AA7A-9FD373DF8A52}"/>
    <cellStyle name="Įprastas 5 2 3 6 3 3" xfId="1617" xr:uid="{EC2A4FE5-5602-4D19-843D-919617FABF2B}"/>
    <cellStyle name="Įprastas 5 2 3 6 3 3 2" xfId="5800" xr:uid="{EE2D1437-7DB8-4E2A-B02C-28C41928C463}"/>
    <cellStyle name="Įprastas 5 2 3 6 3 3 3" xfId="7528" xr:uid="{C44295C0-1E64-4CE5-A3F6-300ED9768B33}"/>
    <cellStyle name="Įprastas 5 2 3 6 3 3 4" xfId="4072" xr:uid="{6AC9EF2F-C0BA-4E03-8DCA-47AA8C477E89}"/>
    <cellStyle name="Įprastas 5 2 3 6 3 3_8 priedas" xfId="8966" xr:uid="{A5D27FDB-CD8F-46FC-892D-B69A44D10EA5}"/>
    <cellStyle name="Įprastas 5 2 3 6 3 4" xfId="2343" xr:uid="{AE12CECA-BC21-42BB-9640-56ED1B2C82BF}"/>
    <cellStyle name="Įprastas 5 2 3 6 3 4 2" xfId="4936" xr:uid="{430B6BAA-7580-4FFB-86ED-616E30C51F41}"/>
    <cellStyle name="Įprastas 5 2 3 6 3 4_8 priedas" xfId="8967" xr:uid="{244ABEF4-B813-4CE2-B654-A24110482670}"/>
    <cellStyle name="Įprastas 5 2 3 6 3 5" xfId="6664" xr:uid="{7C504A0B-8788-4495-8D9B-7924CF6404CD}"/>
    <cellStyle name="Įprastas 5 2 3 6 3 6" xfId="3208" xr:uid="{7B6DBF96-5756-4399-B1FE-71CC0B3FCF0A}"/>
    <cellStyle name="Įprastas 5 2 3 6 3_8 priedas" xfId="1029" xr:uid="{00000000-0005-0000-0000-0000BD010000}"/>
    <cellStyle name="Įprastas 5 2 3 6 4" xfId="574" xr:uid="{00000000-0005-0000-0000-0000BE010000}"/>
    <cellStyle name="Įprastas 5 2 3 6 4 2" xfId="1618" xr:uid="{5EE8BA2C-715E-461F-9771-79523B4183F5}"/>
    <cellStyle name="Įprastas 5 2 3 6 4 2 2" xfId="6179" xr:uid="{D47FA7B4-8644-49EF-A93A-77223DA90031}"/>
    <cellStyle name="Įprastas 5 2 3 6 4 2 3" xfId="7907" xr:uid="{294D406A-7CE5-403A-A161-02FC6F406ADB}"/>
    <cellStyle name="Įprastas 5 2 3 6 4 2 4" xfId="4451" xr:uid="{5EB1DBD2-5EAC-4ACA-9ED5-1CEB3F28AB63}"/>
    <cellStyle name="Įprastas 5 2 3 6 4 2_8 priedas" xfId="8969" xr:uid="{7BFD5354-CAE2-4BDB-8AB0-A1DC545C3FDC}"/>
    <cellStyle name="Įprastas 5 2 3 6 4 3" xfId="2722" xr:uid="{3BBC257C-C719-42C4-A5DC-78ADA34B394C}"/>
    <cellStyle name="Įprastas 5 2 3 6 4 3 2" xfId="5315" xr:uid="{B8F08B75-A7C4-4067-89ED-4316162157CD}"/>
    <cellStyle name="Įprastas 5 2 3 6 4 3_8 priedas" xfId="8970" xr:uid="{C2EB6356-32C4-403E-BD06-3E5E7DB1883D}"/>
    <cellStyle name="Įprastas 5 2 3 6 4 4" xfId="7043" xr:uid="{1FC703DB-622C-4AA7-B27F-30D6CAE3ABD5}"/>
    <cellStyle name="Įprastas 5 2 3 6 4 5" xfId="3587" xr:uid="{2F805E2F-E02D-4FC7-9B18-F722AE5933E5}"/>
    <cellStyle name="Įprastas 5 2 3 6 4_8 priedas" xfId="8968" xr:uid="{FFF90D54-9899-463B-A53C-D28E8BA2C4E4}"/>
    <cellStyle name="Įprastas 5 2 3 6 5" xfId="1619" xr:uid="{E85E0AC9-30BC-4FAB-9D77-B02DDB637056}"/>
    <cellStyle name="Įprastas 5 2 3 6 5 2" xfId="5798" xr:uid="{0DACF6B7-201D-47C3-A71E-D9CD857E070C}"/>
    <cellStyle name="Įprastas 5 2 3 6 5 3" xfId="7526" xr:uid="{F339B78F-FD68-4D6B-8075-0F9D02457C6D}"/>
    <cellStyle name="Įprastas 5 2 3 6 5 4" xfId="4070" xr:uid="{C01F65A6-026B-4DF9-ACA7-79132CC43718}"/>
    <cellStyle name="Įprastas 5 2 3 6 5_8 priedas" xfId="8971" xr:uid="{A69638C6-34BF-435D-9B25-D47F031ED7BD}"/>
    <cellStyle name="Įprastas 5 2 3 6 6" xfId="2341" xr:uid="{ACEDB767-D7D2-488C-9913-4CA6FE717FCB}"/>
    <cellStyle name="Įprastas 5 2 3 6 6 2" xfId="4934" xr:uid="{260F0951-05D4-41C6-84F1-B246BEC020E8}"/>
    <cellStyle name="Įprastas 5 2 3 6 6_8 priedas" xfId="8972" xr:uid="{0CCDC249-E39B-47C5-8CE1-B2FEC8D50000}"/>
    <cellStyle name="Įprastas 5 2 3 6 7" xfId="6662" xr:uid="{D9653D9D-1849-4A91-AD52-1A9BD7340B63}"/>
    <cellStyle name="Įprastas 5 2 3 6 8" xfId="3206" xr:uid="{39B47F20-38A7-45A9-8A00-58E4103A08B6}"/>
    <cellStyle name="Įprastas 5 2 3 6_8 priedas" xfId="1302" xr:uid="{00000000-0005-0000-0000-0000BF010000}"/>
    <cellStyle name="Įprastas 5 2 3 7" xfId="177" xr:uid="{00000000-0005-0000-0000-0000C0010000}"/>
    <cellStyle name="Įprastas 5 2 3 7 2" xfId="622" xr:uid="{00000000-0005-0000-0000-0000C1010000}"/>
    <cellStyle name="Įprastas 5 2 3 7 2 2" xfId="1620" xr:uid="{4BC3C0E4-8742-4054-B85C-84B3FADE3DED}"/>
    <cellStyle name="Įprastas 5 2 3 7 2 2 2" xfId="6227" xr:uid="{F5111327-BCCB-4A60-BA3F-9A902530120F}"/>
    <cellStyle name="Įprastas 5 2 3 7 2 2 3" xfId="7955" xr:uid="{ECA08C08-8EDB-4118-995D-F6D7F2888D23}"/>
    <cellStyle name="Įprastas 5 2 3 7 2 2 4" xfId="4499" xr:uid="{04D78B82-F0EF-45F2-8CF8-04DC0617151A}"/>
    <cellStyle name="Įprastas 5 2 3 7 2 2_8 priedas" xfId="8974" xr:uid="{C5E0588E-7B1B-4874-AFE0-2572BEFE0FD0}"/>
    <cellStyle name="Įprastas 5 2 3 7 2 3" xfId="2770" xr:uid="{541F853A-F4CC-4E42-A572-12BDBE3536CA}"/>
    <cellStyle name="Įprastas 5 2 3 7 2 3 2" xfId="5363" xr:uid="{642F5F44-FC6E-41B4-96F1-E2EDC9008A71}"/>
    <cellStyle name="Įprastas 5 2 3 7 2 3_8 priedas" xfId="8975" xr:uid="{B9FEF116-E940-41B2-A605-B113F217BB09}"/>
    <cellStyle name="Įprastas 5 2 3 7 2 4" xfId="7091" xr:uid="{9CDB4E43-FE08-4650-A41E-2F297D64B2A5}"/>
    <cellStyle name="Įprastas 5 2 3 7 2 5" xfId="3635" xr:uid="{273CECD6-5AC6-4687-A31E-2AFA99415AA0}"/>
    <cellStyle name="Įprastas 5 2 3 7 2_8 priedas" xfId="8973" xr:uid="{CAF3DBC9-5DDC-40C8-A1EF-A84E79FAD929}"/>
    <cellStyle name="Įprastas 5 2 3 7 3" xfId="1621" xr:uid="{6D0F875A-E1E1-4E3B-A15C-90F983388254}"/>
    <cellStyle name="Įprastas 5 2 3 7 3 2" xfId="5801" xr:uid="{DE215DAC-E0F1-4F14-A5FA-90DD99B7F829}"/>
    <cellStyle name="Įprastas 5 2 3 7 3 3" xfId="7529" xr:uid="{D3261F56-046C-4914-8501-76792479D6F9}"/>
    <cellStyle name="Įprastas 5 2 3 7 3 4" xfId="4073" xr:uid="{00CD5657-67EF-4C94-AA49-45F2C66E3951}"/>
    <cellStyle name="Įprastas 5 2 3 7 3_8 priedas" xfId="8976" xr:uid="{E586C638-FE25-43C7-BC61-13F1CAF5D40F}"/>
    <cellStyle name="Įprastas 5 2 3 7 4" xfId="2344" xr:uid="{5589ADBE-8624-4C6D-B2D6-DC62D463091D}"/>
    <cellStyle name="Įprastas 5 2 3 7 4 2" xfId="4937" xr:uid="{F3B993FA-CF91-4049-B549-F4EA91A1643A}"/>
    <cellStyle name="Įprastas 5 2 3 7 4_8 priedas" xfId="8977" xr:uid="{77BD8521-BD98-4F35-BCFB-345BFE1CFFE2}"/>
    <cellStyle name="Įprastas 5 2 3 7 5" xfId="6665" xr:uid="{142B6B44-7CCE-405F-B781-C59EDFF01FBA}"/>
    <cellStyle name="Įprastas 5 2 3 7 6" xfId="3209" xr:uid="{B5C1EE0B-7307-4BEA-BCAE-4112CB1A4CD1}"/>
    <cellStyle name="Įprastas 5 2 3 7_8 priedas" xfId="1253" xr:uid="{00000000-0005-0000-0000-0000C2010000}"/>
    <cellStyle name="Įprastas 5 2 3 8" xfId="178" xr:uid="{00000000-0005-0000-0000-0000C3010000}"/>
    <cellStyle name="Įprastas 5 2 3 8 2" xfId="766" xr:uid="{00000000-0005-0000-0000-0000C4010000}"/>
    <cellStyle name="Įprastas 5 2 3 8 2 2" xfId="1622" xr:uid="{ACE2E891-4ADB-4419-9C86-EE9B332AB80A}"/>
    <cellStyle name="Įprastas 5 2 3 8 2 2 2" xfId="6371" xr:uid="{C7AB4764-A9AF-476C-8E72-5C7E5F503D28}"/>
    <cellStyle name="Įprastas 5 2 3 8 2 2 3" xfId="8099" xr:uid="{7EBAE433-8EA4-42CD-8A93-85C4C5D8CA04}"/>
    <cellStyle name="Įprastas 5 2 3 8 2 2 4" xfId="4643" xr:uid="{2B44D602-13D6-40E9-8734-9B3E3DBE72EB}"/>
    <cellStyle name="Įprastas 5 2 3 8 2 2_8 priedas" xfId="8979" xr:uid="{DC5905A2-9F71-4312-A299-D4EA96B639AD}"/>
    <cellStyle name="Įprastas 5 2 3 8 2 3" xfId="2914" xr:uid="{6FABDBE9-69DB-47D8-AE70-AB9AA23D2081}"/>
    <cellStyle name="Įprastas 5 2 3 8 2 3 2" xfId="5507" xr:uid="{01F1C5BF-62CB-41FA-8565-7AD9972EE013}"/>
    <cellStyle name="Įprastas 5 2 3 8 2 3_8 priedas" xfId="8980" xr:uid="{D9B18468-C345-4B52-B460-9EBB5F58590E}"/>
    <cellStyle name="Įprastas 5 2 3 8 2 4" xfId="7235" xr:uid="{189638CE-A55E-4401-B096-BC4ADA8A17C0}"/>
    <cellStyle name="Įprastas 5 2 3 8 2 5" xfId="3779" xr:uid="{C4331468-5D29-4F99-8F90-9D8801D10E3D}"/>
    <cellStyle name="Įprastas 5 2 3 8 2_8 priedas" xfId="8978" xr:uid="{392D9E35-B0A9-453B-B186-5975A0ACF879}"/>
    <cellStyle name="Įprastas 5 2 3 8 3" xfId="1623" xr:uid="{A25131C0-69AB-4BE0-A1BF-C246DDBBB490}"/>
    <cellStyle name="Įprastas 5 2 3 8 3 2" xfId="5802" xr:uid="{BFEF5E57-6399-42C6-90B2-840B6976B703}"/>
    <cellStyle name="Įprastas 5 2 3 8 3 3" xfId="7530" xr:uid="{DEB3DC2B-BF90-4EAA-BE0D-E7784FE7A2D4}"/>
    <cellStyle name="Įprastas 5 2 3 8 3 4" xfId="4074" xr:uid="{E199866A-DD0A-467F-9080-89DC2DC18D40}"/>
    <cellStyle name="Įprastas 5 2 3 8 3_8 priedas" xfId="8981" xr:uid="{A905B330-2538-40E8-84E0-230910316445}"/>
    <cellStyle name="Įprastas 5 2 3 8 4" xfId="2345" xr:uid="{C7FF06A6-112D-4C37-A0B4-5F1A0A222A61}"/>
    <cellStyle name="Įprastas 5 2 3 8 4 2" xfId="4938" xr:uid="{A9386CE2-BD19-4E91-A7F5-5104861F40A5}"/>
    <cellStyle name="Įprastas 5 2 3 8 4_8 priedas" xfId="8982" xr:uid="{F9BA2C08-D8CD-4325-A667-374A160AC56B}"/>
    <cellStyle name="Įprastas 5 2 3 8 5" xfId="6666" xr:uid="{5EB74DF4-F016-4C86-85E2-F0382CC59D30}"/>
    <cellStyle name="Įprastas 5 2 3 8 6" xfId="3210" xr:uid="{2D234557-EF57-49A6-9E81-318299B3BFCB}"/>
    <cellStyle name="Įprastas 5 2 3 8_8 priedas" xfId="1117" xr:uid="{00000000-0005-0000-0000-0000C5010000}"/>
    <cellStyle name="Įprastas 5 2 3 9" xfId="478" xr:uid="{00000000-0005-0000-0000-0000C6010000}"/>
    <cellStyle name="Įprastas 5 2 3 9 2" xfId="1624" xr:uid="{9F13BB72-DC82-4FD0-832F-931457957906}"/>
    <cellStyle name="Įprastas 5 2 3 9 2 2" xfId="6083" xr:uid="{8F4A539C-CB8E-4514-9E41-DF5950B0777F}"/>
    <cellStyle name="Įprastas 5 2 3 9 2 3" xfId="7811" xr:uid="{629892EA-C7F0-476F-80D8-1FF62A3855DA}"/>
    <cellStyle name="Įprastas 5 2 3 9 2 4" xfId="4355" xr:uid="{FEA974ED-ED05-43F4-9E11-E620B822E89C}"/>
    <cellStyle name="Įprastas 5 2 3 9 2_8 priedas" xfId="8984" xr:uid="{F3DF71F5-32B0-4313-A76A-71452AEFEAA6}"/>
    <cellStyle name="Įprastas 5 2 3 9 3" xfId="2626" xr:uid="{205A5817-878A-49AB-8CE0-4CAD95A8B914}"/>
    <cellStyle name="Įprastas 5 2 3 9 3 2" xfId="5219" xr:uid="{2449F2A0-CBEC-47F3-9CEA-D1690C1B2EC6}"/>
    <cellStyle name="Įprastas 5 2 3 9 3_8 priedas" xfId="8985" xr:uid="{E270E63E-D4B6-4ED5-A50C-2A149C0E3C96}"/>
    <cellStyle name="Įprastas 5 2 3 9 4" xfId="6947" xr:uid="{5ECEAFFB-A0F0-445C-B45D-6FF2B651FEFE}"/>
    <cellStyle name="Įprastas 5 2 3 9 5" xfId="3491" xr:uid="{93B18C9D-E7AA-40D4-9A5F-811F355C7F1D}"/>
    <cellStyle name="Įprastas 5 2 3 9_8 priedas" xfId="8983" xr:uid="{AED86D8C-CE63-46C7-8A88-34711D989AAE}"/>
    <cellStyle name="Įprastas 5 2 3_8 priedas" xfId="29" xr:uid="{00000000-0005-0000-0000-0000C7010000}"/>
    <cellStyle name="Įprastas 5 2 4" xfId="23" xr:uid="{00000000-0005-0000-0000-0000C8010000}"/>
    <cellStyle name="Įprastas 5 2 4 10" xfId="2198" xr:uid="{69CE9EB9-6A7A-42BA-B54C-7CD780ACC2A3}"/>
    <cellStyle name="Įprastas 5 2 4 10 2" xfId="4791" xr:uid="{E85CD99B-7C38-41EF-A88D-F1CDFC187FC6}"/>
    <cellStyle name="Įprastas 5 2 4 10_8 priedas" xfId="8986" xr:uid="{CCD48BBE-1DDF-486A-8208-B604E04FCA54}"/>
    <cellStyle name="Įprastas 5 2 4 11" xfId="6519" xr:uid="{216DBC13-2AC5-4968-B9BB-80B4C9EF02BB}"/>
    <cellStyle name="Įprastas 5 2 4 12" xfId="3063" xr:uid="{F219D5D4-1A5E-4E7C-B6DA-D329883CC070}"/>
    <cellStyle name="Įprastas 5 2 4 2" xfId="180" xr:uid="{00000000-0005-0000-0000-0000C9010000}"/>
    <cellStyle name="Įprastas 5 2 4 2 10" xfId="6667" xr:uid="{48FB3433-AC54-4617-8821-5878E6CF1545}"/>
    <cellStyle name="Įprastas 5 2 4 2 11" xfId="3211" xr:uid="{2072CCB8-240F-4922-8CED-C9A50A3CC2BF}"/>
    <cellStyle name="Įprastas 5 2 4 2 2" xfId="181" xr:uid="{00000000-0005-0000-0000-0000CA010000}"/>
    <cellStyle name="Įprastas 5 2 4 2 2 10" xfId="3212" xr:uid="{6FB756D9-BA0F-494A-B0BD-75FD1A4C69B8}"/>
    <cellStyle name="Įprastas 5 2 4 2 2 2" xfId="182" xr:uid="{00000000-0005-0000-0000-0000CB010000}"/>
    <cellStyle name="Įprastas 5 2 4 2 2 2 2" xfId="183" xr:uid="{00000000-0005-0000-0000-0000CC010000}"/>
    <cellStyle name="Įprastas 5 2 4 2 2 2 2 2" xfId="710" xr:uid="{00000000-0005-0000-0000-0000CD010000}"/>
    <cellStyle name="Įprastas 5 2 4 2 2 2 2 2 2" xfId="1625" xr:uid="{F3168E64-47FC-4B3B-95D8-60A28325DCED}"/>
    <cellStyle name="Įprastas 5 2 4 2 2 2 2 2 2 2" xfId="6315" xr:uid="{2F2F349F-80FF-46C5-944A-9B8549E24D3A}"/>
    <cellStyle name="Įprastas 5 2 4 2 2 2 2 2 2 3" xfId="8043" xr:uid="{E72C2A3A-F664-4EFE-BF8E-B56D0835DD1F}"/>
    <cellStyle name="Įprastas 5 2 4 2 2 2 2 2 2 4" xfId="4587" xr:uid="{FC37C6A1-BB6A-4487-A15D-739EB800062C}"/>
    <cellStyle name="Įprastas 5 2 4 2 2 2 2 2 2_8 priedas" xfId="8988" xr:uid="{6F3CAA86-AEF6-4804-9E11-259165FF5B49}"/>
    <cellStyle name="Įprastas 5 2 4 2 2 2 2 2 3" xfId="2858" xr:uid="{1D692EBC-FB01-4D1D-BDE3-C1C46670FE7D}"/>
    <cellStyle name="Įprastas 5 2 4 2 2 2 2 2 3 2" xfId="5451" xr:uid="{A5EB971E-19A5-4B43-9B5B-4A5F4AEB5E02}"/>
    <cellStyle name="Įprastas 5 2 4 2 2 2 2 2 3_8 priedas" xfId="8989" xr:uid="{C5AD92B7-D7D7-41D6-B995-C9E3D507EF23}"/>
    <cellStyle name="Įprastas 5 2 4 2 2 2 2 2 4" xfId="7179" xr:uid="{AFB1F4DE-7D6F-4DD5-BF33-3F845773CF5E}"/>
    <cellStyle name="Įprastas 5 2 4 2 2 2 2 2 5" xfId="3723" xr:uid="{75491F0E-05AE-4955-8E4B-B983E04F640A}"/>
    <cellStyle name="Įprastas 5 2 4 2 2 2 2 2_8 priedas" xfId="8987" xr:uid="{F689FFD3-83C6-4FF1-8F29-E720AF1A09A7}"/>
    <cellStyle name="Įprastas 5 2 4 2 2 2 2 3" xfId="1626" xr:uid="{1C9DDEF7-A78F-429C-90A7-67882B178D1F}"/>
    <cellStyle name="Įprastas 5 2 4 2 2 2 2 3 2" xfId="5806" xr:uid="{AF979B13-CE19-41EF-9F0D-1A358D785F5E}"/>
    <cellStyle name="Įprastas 5 2 4 2 2 2 2 3 3" xfId="7534" xr:uid="{1DE8642A-B74A-4632-A4F5-D7898DE32111}"/>
    <cellStyle name="Įprastas 5 2 4 2 2 2 2 3 4" xfId="4078" xr:uid="{739146CF-0560-47B7-94F4-4DE7E7CDE370}"/>
    <cellStyle name="Įprastas 5 2 4 2 2 2 2 3_8 priedas" xfId="8990" xr:uid="{D4600DB6-84A2-410A-B931-C1B5CD5E6248}"/>
    <cellStyle name="Įprastas 5 2 4 2 2 2 2 4" xfId="2349" xr:uid="{509ED5AB-8023-4F17-8879-D6FCF39F900C}"/>
    <cellStyle name="Įprastas 5 2 4 2 2 2 2 4 2" xfId="4942" xr:uid="{AEA8C4A4-D14D-4169-AD76-0083DA9F6505}"/>
    <cellStyle name="Įprastas 5 2 4 2 2 2 2 4_8 priedas" xfId="8991" xr:uid="{77A69339-DE34-4409-8979-0A113CEEAA7E}"/>
    <cellStyle name="Įprastas 5 2 4 2 2 2 2 5" xfId="6670" xr:uid="{94F71716-4B74-46DB-9F44-AAF92ACFC1A1}"/>
    <cellStyle name="Įprastas 5 2 4 2 2 2 2 6" xfId="3214" xr:uid="{1091A19D-7050-4315-A785-9E3206CDAE2B}"/>
    <cellStyle name="Įprastas 5 2 4 2 2 2 2_8 priedas" xfId="1052" xr:uid="{00000000-0005-0000-0000-0000CE010000}"/>
    <cellStyle name="Įprastas 5 2 4 2 2 2 3" xfId="184" xr:uid="{00000000-0005-0000-0000-0000CF010000}"/>
    <cellStyle name="Įprastas 5 2 4 2 2 2 3 2" xfId="854" xr:uid="{00000000-0005-0000-0000-0000D0010000}"/>
    <cellStyle name="Įprastas 5 2 4 2 2 2 3 2 2" xfId="1627" xr:uid="{DC9E9E6C-07D5-4F9C-831E-F5BFD030DBA5}"/>
    <cellStyle name="Įprastas 5 2 4 2 2 2 3 2 2 2" xfId="6459" xr:uid="{115EB872-2890-4A2C-AD33-E4B999D7AC8E}"/>
    <cellStyle name="Įprastas 5 2 4 2 2 2 3 2 2 3" xfId="8187" xr:uid="{37A10CE3-448E-4CC5-A427-00845C0FF9E2}"/>
    <cellStyle name="Įprastas 5 2 4 2 2 2 3 2 2 4" xfId="4731" xr:uid="{FFE7CA3F-93DE-4723-8A22-7924677051F1}"/>
    <cellStyle name="Įprastas 5 2 4 2 2 2 3 2 2_8 priedas" xfId="8993" xr:uid="{BC9187C1-B781-420C-BE7C-4ABDC2D4635D}"/>
    <cellStyle name="Įprastas 5 2 4 2 2 2 3 2 3" xfId="3002" xr:uid="{C29C70B7-27AA-4AA6-BEA5-8D3C438BB7D4}"/>
    <cellStyle name="Įprastas 5 2 4 2 2 2 3 2 3 2" xfId="5595" xr:uid="{74A0E269-4AFD-493A-BDF3-E99C9AAEB70F}"/>
    <cellStyle name="Įprastas 5 2 4 2 2 2 3 2 3_8 priedas" xfId="8994" xr:uid="{EAFE3613-4CE0-4466-BD94-0F7C4A6A5E77}"/>
    <cellStyle name="Įprastas 5 2 4 2 2 2 3 2 4" xfId="7323" xr:uid="{CF05A613-2A64-4E5F-A020-CE4639BDB385}"/>
    <cellStyle name="Įprastas 5 2 4 2 2 2 3 2 5" xfId="3867" xr:uid="{381AF812-B196-40B8-B299-7ACC9B4DA2A4}"/>
    <cellStyle name="Įprastas 5 2 4 2 2 2 3 2_8 priedas" xfId="8992" xr:uid="{917090D0-D52B-4B79-B5A8-FCDA59356AD1}"/>
    <cellStyle name="Įprastas 5 2 4 2 2 2 3 3" xfId="1628" xr:uid="{39344410-F401-40C6-940A-4774C4369B03}"/>
    <cellStyle name="Įprastas 5 2 4 2 2 2 3 3 2" xfId="5807" xr:uid="{CAB68242-5D4B-4DAD-AF7A-45EE64BFB0D5}"/>
    <cellStyle name="Įprastas 5 2 4 2 2 2 3 3 3" xfId="7535" xr:uid="{FBD73305-C31F-4754-8DB3-77CA8AC5F074}"/>
    <cellStyle name="Įprastas 5 2 4 2 2 2 3 3 4" xfId="4079" xr:uid="{806FD135-D9CA-4EC1-BBF0-AD102B086136}"/>
    <cellStyle name="Įprastas 5 2 4 2 2 2 3 3_8 priedas" xfId="8995" xr:uid="{4E1470FE-D150-4A91-B19F-2ECDDE60C9D4}"/>
    <cellStyle name="Įprastas 5 2 4 2 2 2 3 4" xfId="2350" xr:uid="{8EA6697C-8265-4963-811C-193F6367A350}"/>
    <cellStyle name="Įprastas 5 2 4 2 2 2 3 4 2" xfId="4943" xr:uid="{82E564DF-032A-4473-8125-84D698DE31AD}"/>
    <cellStyle name="Įprastas 5 2 4 2 2 2 3 4_8 priedas" xfId="8996" xr:uid="{39CE9B46-B410-476D-A4DB-3B811745D913}"/>
    <cellStyle name="Įprastas 5 2 4 2 2 2 3 5" xfId="6671" xr:uid="{DCE4F0DB-6CB6-4EE9-9970-AB9A66321CA9}"/>
    <cellStyle name="Įprastas 5 2 4 2 2 2 3 6" xfId="3215" xr:uid="{11842C0A-CD48-4D07-ABEE-AF9D5AE5EE2C}"/>
    <cellStyle name="Įprastas 5 2 4 2 2 2 3_8 priedas" xfId="1276" xr:uid="{00000000-0005-0000-0000-0000D1010000}"/>
    <cellStyle name="Įprastas 5 2 4 2 2 2 4" xfId="566" xr:uid="{00000000-0005-0000-0000-0000D2010000}"/>
    <cellStyle name="Įprastas 5 2 4 2 2 2 4 2" xfId="1629" xr:uid="{6B005D13-6654-44DB-B138-76B94C2581EE}"/>
    <cellStyle name="Įprastas 5 2 4 2 2 2 4 2 2" xfId="6171" xr:uid="{0555FF68-2318-4317-802F-DDA96D94FA40}"/>
    <cellStyle name="Įprastas 5 2 4 2 2 2 4 2 3" xfId="7899" xr:uid="{97607FA7-7C25-4D16-BF1A-DF2DCCE43753}"/>
    <cellStyle name="Įprastas 5 2 4 2 2 2 4 2 4" xfId="4443" xr:uid="{E7DC136B-140C-4F20-A6EF-A2D9760AFAE7}"/>
    <cellStyle name="Įprastas 5 2 4 2 2 2 4 2_8 priedas" xfId="8998" xr:uid="{948D1A40-F175-4E7F-923F-EE6DAA721F47}"/>
    <cellStyle name="Įprastas 5 2 4 2 2 2 4 3" xfId="2714" xr:uid="{F95E0E5B-44D5-409B-B687-2FD8E0070648}"/>
    <cellStyle name="Įprastas 5 2 4 2 2 2 4 3 2" xfId="5307" xr:uid="{7DE1522A-25AB-462A-881E-A24C4F2D15F0}"/>
    <cellStyle name="Įprastas 5 2 4 2 2 2 4 3_8 priedas" xfId="8999" xr:uid="{6B2A06D7-8D89-4BE1-8E51-8B2548E04649}"/>
    <cellStyle name="Įprastas 5 2 4 2 2 2 4 4" xfId="7035" xr:uid="{A34D84EF-4964-4FA1-9B83-D37B9490DC41}"/>
    <cellStyle name="Įprastas 5 2 4 2 2 2 4 5" xfId="3579" xr:uid="{B719BF07-3B47-49B9-BABA-0F37505BF985}"/>
    <cellStyle name="Įprastas 5 2 4 2 2 2 4_8 priedas" xfId="8997" xr:uid="{9CE0A161-61E2-4232-94FA-726330DDA2FE}"/>
    <cellStyle name="Įprastas 5 2 4 2 2 2 5" xfId="1630" xr:uid="{F29F7749-66FC-4B13-B7F2-1E84A9F35C3E}"/>
    <cellStyle name="Įprastas 5 2 4 2 2 2 5 2" xfId="5805" xr:uid="{6658490F-04DA-40DF-B7F6-3BF35D452824}"/>
    <cellStyle name="Įprastas 5 2 4 2 2 2 5 3" xfId="7533" xr:uid="{1AC0E3F0-A06D-43B9-B954-8F99A83638DC}"/>
    <cellStyle name="Įprastas 5 2 4 2 2 2 5 4" xfId="4077" xr:uid="{91A21950-8767-49B1-B63F-28EA769DE447}"/>
    <cellStyle name="Įprastas 5 2 4 2 2 2 5_8 priedas" xfId="9000" xr:uid="{25070998-4643-4A66-80D9-A196F3B435D5}"/>
    <cellStyle name="Įprastas 5 2 4 2 2 2 6" xfId="2348" xr:uid="{E4B77232-576B-48DB-89BB-BFC74296C7E1}"/>
    <cellStyle name="Įprastas 5 2 4 2 2 2 6 2" xfId="4941" xr:uid="{E9B8E361-8DB4-4756-882A-7CF9094BE9B2}"/>
    <cellStyle name="Įprastas 5 2 4 2 2 2 6_8 priedas" xfId="9001" xr:uid="{0637CB74-8D1E-424B-BA6E-8F0E5E75E795}"/>
    <cellStyle name="Įprastas 5 2 4 2 2 2 7" xfId="6669" xr:uid="{1270B2C2-2C17-4B69-B3FA-0A802E63C1F2}"/>
    <cellStyle name="Įprastas 5 2 4 2 2 2 8" xfId="3213" xr:uid="{EF2256A6-C7B2-441B-9571-2D1C765EB461}"/>
    <cellStyle name="Įprastas 5 2 4 2 2 2_8 priedas" xfId="1188" xr:uid="{00000000-0005-0000-0000-0000D3010000}"/>
    <cellStyle name="Įprastas 5 2 4 2 2 3" xfId="185" xr:uid="{00000000-0005-0000-0000-0000D4010000}"/>
    <cellStyle name="Įprastas 5 2 4 2 2 3 2" xfId="186" xr:uid="{00000000-0005-0000-0000-0000D5010000}"/>
    <cellStyle name="Įprastas 5 2 4 2 2 3 2 2" xfId="758" xr:uid="{00000000-0005-0000-0000-0000D6010000}"/>
    <cellStyle name="Įprastas 5 2 4 2 2 3 2 2 2" xfId="1631" xr:uid="{7423353E-A491-41D7-8F1D-D13CA19CC573}"/>
    <cellStyle name="Įprastas 5 2 4 2 2 3 2 2 2 2" xfId="6363" xr:uid="{0F7292D8-F654-4AE0-BD8D-5857007CBD81}"/>
    <cellStyle name="Įprastas 5 2 4 2 2 3 2 2 2 3" xfId="8091" xr:uid="{413BF079-EA17-4CFE-9715-8C547D29A6FC}"/>
    <cellStyle name="Įprastas 5 2 4 2 2 3 2 2 2 4" xfId="4635" xr:uid="{1A1711CD-9715-4B4E-A317-D7D21EE12AF9}"/>
    <cellStyle name="Įprastas 5 2 4 2 2 3 2 2 2_8 priedas" xfId="9003" xr:uid="{EDCD3762-7F87-42BA-A624-B01489E347E1}"/>
    <cellStyle name="Įprastas 5 2 4 2 2 3 2 2 3" xfId="2906" xr:uid="{26EF321B-55FC-4E7C-82CB-99F773491FFB}"/>
    <cellStyle name="Įprastas 5 2 4 2 2 3 2 2 3 2" xfId="5499" xr:uid="{9DBFDAAA-E589-4B76-8558-201B5E7DFA11}"/>
    <cellStyle name="Įprastas 5 2 4 2 2 3 2 2 3_8 priedas" xfId="9004" xr:uid="{FAE815A9-4C8D-439E-A457-EC02DF0E92A1}"/>
    <cellStyle name="Įprastas 5 2 4 2 2 3 2 2 4" xfId="7227" xr:uid="{6C331C12-0768-4640-A1FA-3274003089A5}"/>
    <cellStyle name="Įprastas 5 2 4 2 2 3 2 2 5" xfId="3771" xr:uid="{992925D3-47CE-4068-B5AA-9C85E0FAE5C3}"/>
    <cellStyle name="Įprastas 5 2 4 2 2 3 2 2_8 priedas" xfId="9002" xr:uid="{43D7FC04-5E70-4B75-8EDD-20FB3C057C43}"/>
    <cellStyle name="Įprastas 5 2 4 2 2 3 2 3" xfId="1632" xr:uid="{6CC8DC00-6AAB-4F2B-939D-55F69530CFD5}"/>
    <cellStyle name="Įprastas 5 2 4 2 2 3 2 3 2" xfId="5809" xr:uid="{6B9EEC06-22EC-4FA4-9BA1-12E114E7E70D}"/>
    <cellStyle name="Įprastas 5 2 4 2 2 3 2 3 3" xfId="7537" xr:uid="{215BF3D6-DA14-4796-A4EB-E644CC63B710}"/>
    <cellStyle name="Įprastas 5 2 4 2 2 3 2 3 4" xfId="4081" xr:uid="{781DF6D8-48AD-485A-B861-BAF186D81CB0}"/>
    <cellStyle name="Įprastas 5 2 4 2 2 3 2 3_8 priedas" xfId="9005" xr:uid="{DA42AE52-02D5-40F1-8780-68A9B9F7B399}"/>
    <cellStyle name="Įprastas 5 2 4 2 2 3 2 4" xfId="2352" xr:uid="{32C40F08-C961-475C-ACD6-BC8501EC5186}"/>
    <cellStyle name="Įprastas 5 2 4 2 2 3 2 4 2" xfId="4945" xr:uid="{96648564-A191-41A6-B544-FA61A8732F60}"/>
    <cellStyle name="Įprastas 5 2 4 2 2 3 2 4_8 priedas" xfId="9006" xr:uid="{8FC54C7E-6DCB-4955-A6FC-541DD6386347}"/>
    <cellStyle name="Įprastas 5 2 4 2 2 3 2 5" xfId="6673" xr:uid="{031421BC-11F3-4DFF-80AD-745C75E3F74F}"/>
    <cellStyle name="Įprastas 5 2 4 2 2 3 2 6" xfId="3217" xr:uid="{363762F7-4866-4FCA-B322-231DD0B885A0}"/>
    <cellStyle name="Įprastas 5 2 4 2 2 3 2_8 priedas" xfId="1004" xr:uid="{00000000-0005-0000-0000-0000D7010000}"/>
    <cellStyle name="Įprastas 5 2 4 2 2 3 3" xfId="187" xr:uid="{00000000-0005-0000-0000-0000D8010000}"/>
    <cellStyle name="Įprastas 5 2 4 2 2 3 3 2" xfId="902" xr:uid="{00000000-0005-0000-0000-0000D9010000}"/>
    <cellStyle name="Įprastas 5 2 4 2 2 3 3 2 2" xfId="1633" xr:uid="{9D52AD99-0D65-47A7-9A01-7346CAFB1151}"/>
    <cellStyle name="Įprastas 5 2 4 2 2 3 3 2 2 2" xfId="6507" xr:uid="{46E2C35E-7A10-4F30-A39F-A3E0AEACC9F3}"/>
    <cellStyle name="Įprastas 5 2 4 2 2 3 3 2 2 3" xfId="8235" xr:uid="{FA0A4E5A-1462-499F-9C9F-202D77B6A77A}"/>
    <cellStyle name="Įprastas 5 2 4 2 2 3 3 2 2 4" xfId="4779" xr:uid="{D9FB3FFA-ADC7-4B45-9AB7-9D5AEBADC916}"/>
    <cellStyle name="Įprastas 5 2 4 2 2 3 3 2 2_8 priedas" xfId="9008" xr:uid="{A4493C40-712A-477C-A0AC-364EDF11283E}"/>
    <cellStyle name="Įprastas 5 2 4 2 2 3 3 2 3" xfId="3050" xr:uid="{E7AA2BC1-02AB-41A8-B715-662D531A334D}"/>
    <cellStyle name="Įprastas 5 2 4 2 2 3 3 2 3 2" xfId="5643" xr:uid="{2BEF3356-50FC-418A-A122-FC2D618402D9}"/>
    <cellStyle name="Įprastas 5 2 4 2 2 3 3 2 3_8 priedas" xfId="9009" xr:uid="{569BD157-BE7E-49D4-BE76-44792E0A8277}"/>
    <cellStyle name="Įprastas 5 2 4 2 2 3 3 2 4" xfId="7371" xr:uid="{A88289AC-C229-45FB-B3F0-3CC5C96BF001}"/>
    <cellStyle name="Įprastas 5 2 4 2 2 3 3 2 5" xfId="3915" xr:uid="{6733E3F6-E098-4498-A3BC-FCBD2E02BF84}"/>
    <cellStyle name="Įprastas 5 2 4 2 2 3 3 2_8 priedas" xfId="9007" xr:uid="{FA1ABC68-AD28-4B16-92A8-9DD95DFD3B53}"/>
    <cellStyle name="Įprastas 5 2 4 2 2 3 3 3" xfId="1634" xr:uid="{3EFB4271-87F1-49E1-8494-87A5DFE7237B}"/>
    <cellStyle name="Įprastas 5 2 4 2 2 3 3 3 2" xfId="5810" xr:uid="{15365EEC-3846-4690-A11E-E62A4811CAFE}"/>
    <cellStyle name="Įprastas 5 2 4 2 2 3 3 3 3" xfId="7538" xr:uid="{13FA5844-D93A-4EFD-8BE4-3FBA2CFDAEB0}"/>
    <cellStyle name="Įprastas 5 2 4 2 2 3 3 3 4" xfId="4082" xr:uid="{0A379FAF-8255-4D41-A5B5-9BC6DCFD818D}"/>
    <cellStyle name="Įprastas 5 2 4 2 2 3 3 3_8 priedas" xfId="9010" xr:uid="{82E5BE77-2282-4953-82F7-F771E0531E35}"/>
    <cellStyle name="Įprastas 5 2 4 2 2 3 3 4" xfId="2353" xr:uid="{CD2DCD65-9DCF-4755-B582-233E4386942B}"/>
    <cellStyle name="Įprastas 5 2 4 2 2 3 3 4 2" xfId="4946" xr:uid="{74D287B8-8627-4797-9512-4FD19C54E75D}"/>
    <cellStyle name="Įprastas 5 2 4 2 2 3 3 4_8 priedas" xfId="9011" xr:uid="{FD8CF7C9-4D72-4337-85E6-C673BD589B83}"/>
    <cellStyle name="Įprastas 5 2 4 2 2 3 3 5" xfId="6674" xr:uid="{94807201-F6E7-45A5-92F1-0AD41EA394E5}"/>
    <cellStyle name="Įprastas 5 2 4 2 2 3 3 6" xfId="3218" xr:uid="{EDBE5927-AFE0-4F93-B0F7-9CA413A515ED}"/>
    <cellStyle name="Įprastas 5 2 4 2 2 3 3_8 priedas" xfId="963" xr:uid="{00000000-0005-0000-0000-0000DA010000}"/>
    <cellStyle name="Įprastas 5 2 4 2 2 3 4" xfId="614" xr:uid="{00000000-0005-0000-0000-0000DB010000}"/>
    <cellStyle name="Įprastas 5 2 4 2 2 3 4 2" xfId="1635" xr:uid="{E7B31C5B-8030-404D-9CF3-736E78A4BF46}"/>
    <cellStyle name="Įprastas 5 2 4 2 2 3 4 2 2" xfId="6219" xr:uid="{6D973ED1-3EF9-407A-A1F5-8F28E20EB907}"/>
    <cellStyle name="Įprastas 5 2 4 2 2 3 4 2 3" xfId="7947" xr:uid="{E9FF3902-AF3A-4710-B264-25D079FE627C}"/>
    <cellStyle name="Įprastas 5 2 4 2 2 3 4 2 4" xfId="4491" xr:uid="{2C9E0D2A-7992-4F63-932F-F609C5036B9C}"/>
    <cellStyle name="Įprastas 5 2 4 2 2 3 4 2_8 priedas" xfId="9013" xr:uid="{125ABD9D-DA04-45C7-8470-BC8D3DBD1F9B}"/>
    <cellStyle name="Įprastas 5 2 4 2 2 3 4 3" xfId="2762" xr:uid="{9776051B-73A2-4C51-AECB-2E7BE801A14E}"/>
    <cellStyle name="Įprastas 5 2 4 2 2 3 4 3 2" xfId="5355" xr:uid="{D7C6E1B4-EE60-43F3-BDEA-A6B44F549512}"/>
    <cellStyle name="Įprastas 5 2 4 2 2 3 4 3_8 priedas" xfId="9014" xr:uid="{45A72E3C-336B-4860-92FC-3192E37DED51}"/>
    <cellStyle name="Įprastas 5 2 4 2 2 3 4 4" xfId="7083" xr:uid="{FC241A49-F875-499E-B7BC-B7F00ED9A9B4}"/>
    <cellStyle name="Įprastas 5 2 4 2 2 3 4 5" xfId="3627" xr:uid="{515471E9-3B1B-475D-B698-ED88E5C7E8C3}"/>
    <cellStyle name="Įprastas 5 2 4 2 2 3 4_8 priedas" xfId="9012" xr:uid="{47FAF3A5-1CFA-41F6-8D60-12CE080377EB}"/>
    <cellStyle name="Įprastas 5 2 4 2 2 3 5" xfId="1636" xr:uid="{AF204DD3-993B-4F0E-993F-A681E8190BFC}"/>
    <cellStyle name="Įprastas 5 2 4 2 2 3 5 2" xfId="5808" xr:uid="{0CAD639E-1C03-40AB-A871-6ACB00E3AFB8}"/>
    <cellStyle name="Įprastas 5 2 4 2 2 3 5 3" xfId="7536" xr:uid="{F2D06A72-694B-4043-B2EB-9C5C71355071}"/>
    <cellStyle name="Įprastas 5 2 4 2 2 3 5 4" xfId="4080" xr:uid="{347E7B63-C6A5-452F-86B2-EBA9E81F97CF}"/>
    <cellStyle name="Įprastas 5 2 4 2 2 3 5_8 priedas" xfId="9015" xr:uid="{670EE7D2-5E91-4312-82C5-EB238193D07B}"/>
    <cellStyle name="Įprastas 5 2 4 2 2 3 6" xfId="2351" xr:uid="{AE1B231C-8B81-41D9-84E8-3EF19FE6CBD3}"/>
    <cellStyle name="Įprastas 5 2 4 2 2 3 6 2" xfId="4944" xr:uid="{C3A98B6E-BEBC-4444-9E2D-A57F3DB55EFD}"/>
    <cellStyle name="Įprastas 5 2 4 2 2 3 6_8 priedas" xfId="9016" xr:uid="{E68E5384-FD18-45CA-903D-5271700B32ED}"/>
    <cellStyle name="Įprastas 5 2 4 2 2 3 7" xfId="6672" xr:uid="{9FB961CB-9F1F-4EE6-808F-32DBCC1C915A}"/>
    <cellStyle name="Įprastas 5 2 4 2 2 3 8" xfId="3216" xr:uid="{0EA913C1-30C0-4D2A-9E3A-AA5937CB5C42}"/>
    <cellStyle name="Įprastas 5 2 4 2 2 3_8 priedas" xfId="1140" xr:uid="{00000000-0005-0000-0000-0000DC010000}"/>
    <cellStyle name="Įprastas 5 2 4 2 2 4" xfId="188" xr:uid="{00000000-0005-0000-0000-0000DD010000}"/>
    <cellStyle name="Įprastas 5 2 4 2 2 4 2" xfId="662" xr:uid="{00000000-0005-0000-0000-0000DE010000}"/>
    <cellStyle name="Įprastas 5 2 4 2 2 4 2 2" xfId="1637" xr:uid="{284E567E-FF5B-4877-BC65-A355D278771B}"/>
    <cellStyle name="Įprastas 5 2 4 2 2 4 2 2 2" xfId="6267" xr:uid="{E4CC1BEC-EBE1-4227-90B8-39CCB89DA0A3}"/>
    <cellStyle name="Įprastas 5 2 4 2 2 4 2 2 3" xfId="7995" xr:uid="{33D459A5-A805-4364-B78F-9E4F25639C02}"/>
    <cellStyle name="Įprastas 5 2 4 2 2 4 2 2 4" xfId="4539" xr:uid="{1E88F938-8001-4D80-8C10-F284247CDFBA}"/>
    <cellStyle name="Įprastas 5 2 4 2 2 4 2 2_8 priedas" xfId="9018" xr:uid="{2F188926-C095-40B6-AB67-B842E5498144}"/>
    <cellStyle name="Įprastas 5 2 4 2 2 4 2 3" xfId="2810" xr:uid="{98AC18E2-F282-4C31-9FA5-5B22754599BB}"/>
    <cellStyle name="Įprastas 5 2 4 2 2 4 2 3 2" xfId="5403" xr:uid="{491C3EB5-D46E-4BCC-A48B-AEF24BC56F45}"/>
    <cellStyle name="Įprastas 5 2 4 2 2 4 2 3_8 priedas" xfId="9019" xr:uid="{C85E5760-910E-44E8-ADDD-1235314209B4}"/>
    <cellStyle name="Įprastas 5 2 4 2 2 4 2 4" xfId="7131" xr:uid="{71F369D5-EDF3-4197-9E7A-B249D9063942}"/>
    <cellStyle name="Įprastas 5 2 4 2 2 4 2 5" xfId="3675" xr:uid="{87FBB6A8-71C4-40E8-8DB2-8918FC054D67}"/>
    <cellStyle name="Įprastas 5 2 4 2 2 4 2_8 priedas" xfId="9017" xr:uid="{9C576B67-D95C-4EA3-A197-D7BDDC19AD02}"/>
    <cellStyle name="Įprastas 5 2 4 2 2 4 3" xfId="1638" xr:uid="{164CD0E7-51BC-4586-9F31-0284B723C289}"/>
    <cellStyle name="Įprastas 5 2 4 2 2 4 3 2" xfId="5811" xr:uid="{82ECE6FD-6894-4028-8F0C-D7363E1A5F61}"/>
    <cellStyle name="Įprastas 5 2 4 2 2 4 3 3" xfId="7539" xr:uid="{EE7DFC57-91DC-46BC-B88E-CE386947EB51}"/>
    <cellStyle name="Įprastas 5 2 4 2 2 4 3 4" xfId="4083" xr:uid="{189958E3-DEFD-4289-B6BB-B25070EE4DE3}"/>
    <cellStyle name="Įprastas 5 2 4 2 2 4 3_8 priedas" xfId="9020" xr:uid="{A86E972F-645E-4ACA-8D2B-0F270A291EC8}"/>
    <cellStyle name="Įprastas 5 2 4 2 2 4 4" xfId="2354" xr:uid="{952F3D65-FC9B-43F7-8292-3496611CD744}"/>
    <cellStyle name="Įprastas 5 2 4 2 2 4 4 2" xfId="4947" xr:uid="{54ADDF8E-65E2-4A6B-AEAF-648EA4D0F69B}"/>
    <cellStyle name="Įprastas 5 2 4 2 2 4 4_8 priedas" xfId="9021" xr:uid="{3DE626F3-BD80-4E1A-8C20-E3650399BEE0}"/>
    <cellStyle name="Įprastas 5 2 4 2 2 4 5" xfId="6675" xr:uid="{2CDA15D4-09A3-497C-91AC-DF74E09BC6BA}"/>
    <cellStyle name="Įprastas 5 2 4 2 2 4 6" xfId="3219" xr:uid="{5DDD1E77-C106-466B-A9BF-B420B1085DBD}"/>
    <cellStyle name="Įprastas 5 2 4 2 2 4_8 priedas" xfId="934" xr:uid="{00000000-0005-0000-0000-0000DF010000}"/>
    <cellStyle name="Įprastas 5 2 4 2 2 5" xfId="189" xr:uid="{00000000-0005-0000-0000-0000E0010000}"/>
    <cellStyle name="Įprastas 5 2 4 2 2 5 2" xfId="806" xr:uid="{00000000-0005-0000-0000-0000E1010000}"/>
    <cellStyle name="Įprastas 5 2 4 2 2 5 2 2" xfId="1639" xr:uid="{D6E3A0BF-5B3A-4B1E-916C-1E62A77FC5B0}"/>
    <cellStyle name="Įprastas 5 2 4 2 2 5 2 2 2" xfId="6411" xr:uid="{F62138C9-8670-40D3-A061-F434810871A1}"/>
    <cellStyle name="Įprastas 5 2 4 2 2 5 2 2 3" xfId="8139" xr:uid="{F930D32C-560A-47C2-B327-E8318F1FE967}"/>
    <cellStyle name="Įprastas 5 2 4 2 2 5 2 2 4" xfId="4683" xr:uid="{A2FD351B-E6C0-49D9-8574-B34CC351759E}"/>
    <cellStyle name="Įprastas 5 2 4 2 2 5 2 2_8 priedas" xfId="9023" xr:uid="{1C100CFB-F1DC-452F-8165-3A3AF3A4F47E}"/>
    <cellStyle name="Įprastas 5 2 4 2 2 5 2 3" xfId="2954" xr:uid="{01C0FBD0-A30B-4E72-B843-E99381CE5CCC}"/>
    <cellStyle name="Įprastas 5 2 4 2 2 5 2 3 2" xfId="5547" xr:uid="{B7E281B3-F8AA-4823-9548-3C4761C5BD4F}"/>
    <cellStyle name="Įprastas 5 2 4 2 2 5 2 3_8 priedas" xfId="9024" xr:uid="{B582AD0E-1285-4C47-8AB1-AD55EF147CE8}"/>
    <cellStyle name="Įprastas 5 2 4 2 2 5 2 4" xfId="7275" xr:uid="{509075A0-0FB9-4629-99C2-ED14E284B980}"/>
    <cellStyle name="Įprastas 5 2 4 2 2 5 2 5" xfId="3819" xr:uid="{88881B93-BDBE-432A-93FB-BDFCB13DC1AA}"/>
    <cellStyle name="Įprastas 5 2 4 2 2 5 2_8 priedas" xfId="9022" xr:uid="{E861B2B3-E539-40E1-96C5-DA13B7B5DDA9}"/>
    <cellStyle name="Įprastas 5 2 4 2 2 5 3" xfId="1640" xr:uid="{27454829-2142-4AD5-B3BF-298F42BE8719}"/>
    <cellStyle name="Įprastas 5 2 4 2 2 5 3 2" xfId="5812" xr:uid="{F27AFF66-A4CE-4E5B-A0C8-8495BE480619}"/>
    <cellStyle name="Įprastas 5 2 4 2 2 5 3 3" xfId="7540" xr:uid="{0C199FEC-A478-4EE7-BDF5-6444CD087C81}"/>
    <cellStyle name="Įprastas 5 2 4 2 2 5 3 4" xfId="4084" xr:uid="{4F2EABB2-F15E-433B-856A-E84DF65BA92C}"/>
    <cellStyle name="Įprastas 5 2 4 2 2 5 3_8 priedas" xfId="9025" xr:uid="{CD0906A8-B5DA-4DDC-B543-E407919FAEB1}"/>
    <cellStyle name="Įprastas 5 2 4 2 2 5 4" xfId="2355" xr:uid="{BD55F845-1865-4ADE-A48B-304100B1C139}"/>
    <cellStyle name="Įprastas 5 2 4 2 2 5 4 2" xfId="4948" xr:uid="{D5A619CC-1F1E-4A2F-A4DA-0C6A4BAFA8E5}"/>
    <cellStyle name="Įprastas 5 2 4 2 2 5 4_8 priedas" xfId="9026" xr:uid="{63784673-C5B7-4CD5-9ABB-5BA2D6BBFC89}"/>
    <cellStyle name="Įprastas 5 2 4 2 2 5 5" xfId="6676" xr:uid="{542628FC-EAB9-431D-8A0A-C1A0DF0034BF}"/>
    <cellStyle name="Įprastas 5 2 4 2 2 5 6" xfId="3220" xr:uid="{45106F81-7F3D-40AD-AB64-9762134269C6}"/>
    <cellStyle name="Įprastas 5 2 4 2 2 5_8 priedas" xfId="917" xr:uid="{00000000-0005-0000-0000-0000E2010000}"/>
    <cellStyle name="Įprastas 5 2 4 2 2 6" xfId="518" xr:uid="{00000000-0005-0000-0000-0000E3010000}"/>
    <cellStyle name="Įprastas 5 2 4 2 2 6 2" xfId="1641" xr:uid="{88055B6E-B4D5-492A-B3DB-4C95031B1B75}"/>
    <cellStyle name="Įprastas 5 2 4 2 2 6 2 2" xfId="6123" xr:uid="{54349730-382C-41BB-ABE8-C2A8307B94E1}"/>
    <cellStyle name="Įprastas 5 2 4 2 2 6 2 3" xfId="7851" xr:uid="{E57ABC66-E8FD-48F2-9962-7414A6EA68AA}"/>
    <cellStyle name="Įprastas 5 2 4 2 2 6 2 4" xfId="4395" xr:uid="{F0021FA2-AFB6-46C0-A369-CBA44E4AB26A}"/>
    <cellStyle name="Įprastas 5 2 4 2 2 6 2_8 priedas" xfId="9028" xr:uid="{CFE9392C-1E15-41B6-A59F-7B946486BA92}"/>
    <cellStyle name="Įprastas 5 2 4 2 2 6 3" xfId="2666" xr:uid="{CAC0918D-58BF-4FF9-AA2E-756C6E95F443}"/>
    <cellStyle name="Įprastas 5 2 4 2 2 6 3 2" xfId="5259" xr:uid="{BCA67EC2-E54B-4BB9-84C9-6A6430480778}"/>
    <cellStyle name="Įprastas 5 2 4 2 2 6 3_8 priedas" xfId="9029" xr:uid="{6BE6B5DA-0727-4D2D-8A5E-D4BF01CF697A}"/>
    <cellStyle name="Įprastas 5 2 4 2 2 6 4" xfId="6987" xr:uid="{40A8199E-1938-46DC-AD60-56D5D0478956}"/>
    <cellStyle name="Įprastas 5 2 4 2 2 6 5" xfId="3531" xr:uid="{DAE237CF-790D-431B-8B1F-9F08DC85A349}"/>
    <cellStyle name="Įprastas 5 2 4 2 2 6_8 priedas" xfId="9027" xr:uid="{CA2D7F21-27EB-49FB-B5B3-727E4808BCE2}"/>
    <cellStyle name="Įprastas 5 2 4 2 2 7" xfId="1642" xr:uid="{6794C7E8-1CF9-40CB-B4B6-7C9FFC87D5EA}"/>
    <cellStyle name="Įprastas 5 2 4 2 2 7 2" xfId="5804" xr:uid="{E33965F0-0E39-4F41-A165-8533CD2BEDBD}"/>
    <cellStyle name="Įprastas 5 2 4 2 2 7 3" xfId="7532" xr:uid="{0D97DF9B-EB24-4363-847B-38D3DE0819B9}"/>
    <cellStyle name="Įprastas 5 2 4 2 2 7 4" xfId="4076" xr:uid="{BB4AD37D-91D7-42B3-8C92-CF47FAF54F4A}"/>
    <cellStyle name="Įprastas 5 2 4 2 2 7_8 priedas" xfId="9030" xr:uid="{E963DA0D-A7FA-4380-AB30-F1C589B6779F}"/>
    <cellStyle name="Įprastas 5 2 4 2 2 8" xfId="2347" xr:uid="{E34003D1-FBC1-4250-90E6-88FD275A79A9}"/>
    <cellStyle name="Įprastas 5 2 4 2 2 8 2" xfId="4940" xr:uid="{27FE6DA6-0819-4C01-9CA0-E16FB408A633}"/>
    <cellStyle name="Įprastas 5 2 4 2 2 8_8 priedas" xfId="9031" xr:uid="{2A8ECF97-29F7-4578-A4DB-19CBAB2FA4D7}"/>
    <cellStyle name="Įprastas 5 2 4 2 2 9" xfId="6668" xr:uid="{AC3353C0-0AC6-4437-821A-70E8D5CC8376}"/>
    <cellStyle name="Įprastas 5 2 4 2 2_8 priedas" xfId="1325" xr:uid="{00000000-0005-0000-0000-0000E4010000}"/>
    <cellStyle name="Įprastas 5 2 4 2 3" xfId="190" xr:uid="{00000000-0005-0000-0000-0000E5010000}"/>
    <cellStyle name="Įprastas 5 2 4 2 3 2" xfId="191" xr:uid="{00000000-0005-0000-0000-0000E6010000}"/>
    <cellStyle name="Įprastas 5 2 4 2 3 2 2" xfId="686" xr:uid="{00000000-0005-0000-0000-0000E7010000}"/>
    <cellStyle name="Įprastas 5 2 4 2 3 2 2 2" xfId="1643" xr:uid="{384C535B-790B-49DC-A7CA-10FBB97E40D9}"/>
    <cellStyle name="Įprastas 5 2 4 2 3 2 2 2 2" xfId="6291" xr:uid="{B9099AF5-7DC0-4BEE-BC2A-EDDE8F678285}"/>
    <cellStyle name="Įprastas 5 2 4 2 3 2 2 2 3" xfId="8019" xr:uid="{4F7D5405-0104-4A9D-B956-977DD4B0FAD1}"/>
    <cellStyle name="Įprastas 5 2 4 2 3 2 2 2 4" xfId="4563" xr:uid="{95A92AAE-F6F1-4E35-9CA5-B16B0F140FDC}"/>
    <cellStyle name="Įprastas 5 2 4 2 3 2 2 2_8 priedas" xfId="9033" xr:uid="{E328B91D-55A4-4F2B-9DF4-980B7AAE40E8}"/>
    <cellStyle name="Įprastas 5 2 4 2 3 2 2 3" xfId="2834" xr:uid="{D4601EFA-537B-4340-8C72-A058D9B09A75}"/>
    <cellStyle name="Įprastas 5 2 4 2 3 2 2 3 2" xfId="5427" xr:uid="{02D16C33-3898-46A9-B468-90C5E46E2EBB}"/>
    <cellStyle name="Įprastas 5 2 4 2 3 2 2 3_8 priedas" xfId="9034" xr:uid="{F9EC8F29-4365-48CD-A8A7-C84E4D828055}"/>
    <cellStyle name="Įprastas 5 2 4 2 3 2 2 4" xfId="7155" xr:uid="{73A025CA-3524-4E16-BC49-42CA392F7ACE}"/>
    <cellStyle name="Įprastas 5 2 4 2 3 2 2 5" xfId="3699" xr:uid="{D8C812D2-8282-4ACA-B688-0409C246A53E}"/>
    <cellStyle name="Įprastas 5 2 4 2 3 2 2_8 priedas" xfId="9032" xr:uid="{170EA5F4-C0BE-4D8C-8E62-CC8E4E2E93EB}"/>
    <cellStyle name="Įprastas 5 2 4 2 3 2 3" xfId="1644" xr:uid="{47AF1743-A30D-412C-8E35-372D406BFDA9}"/>
    <cellStyle name="Įprastas 5 2 4 2 3 2 3 2" xfId="5814" xr:uid="{AEA5D021-4C1E-4148-B446-ED485FB422A2}"/>
    <cellStyle name="Įprastas 5 2 4 2 3 2 3 3" xfId="7542" xr:uid="{2B235B2B-D6CB-4432-B572-1347816B9E49}"/>
    <cellStyle name="Įprastas 5 2 4 2 3 2 3 4" xfId="4086" xr:uid="{855EA60D-C062-46C6-84ED-AD3D908B230A}"/>
    <cellStyle name="Įprastas 5 2 4 2 3 2 3_8 priedas" xfId="9035" xr:uid="{3A4FB59F-1C6E-4C3A-A116-32F247C81026}"/>
    <cellStyle name="Įprastas 5 2 4 2 3 2 4" xfId="2357" xr:uid="{1F6F4BF0-AD53-4E6A-8C2A-40BA510926BF}"/>
    <cellStyle name="Įprastas 5 2 4 2 3 2 4 2" xfId="4950" xr:uid="{254808DA-13B1-42A6-9458-2277B5811D79}"/>
    <cellStyle name="Įprastas 5 2 4 2 3 2 4_8 priedas" xfId="9036" xr:uid="{484FB9E0-7E48-44BC-B839-7D1A51544390}"/>
    <cellStyle name="Įprastas 5 2 4 2 3 2 5" xfId="6678" xr:uid="{64B66320-689B-45D4-B835-E789F19FCC61}"/>
    <cellStyle name="Įprastas 5 2 4 2 3 2 6" xfId="3222" xr:uid="{FD3500F1-248D-4F0D-8597-8624626E30A6}"/>
    <cellStyle name="Įprastas 5 2 4 2 3 2_8 priedas" xfId="921" xr:uid="{00000000-0005-0000-0000-0000E8010000}"/>
    <cellStyle name="Įprastas 5 2 4 2 3 3" xfId="192" xr:uid="{00000000-0005-0000-0000-0000E9010000}"/>
    <cellStyle name="Įprastas 5 2 4 2 3 3 2" xfId="830" xr:uid="{00000000-0005-0000-0000-0000EA010000}"/>
    <cellStyle name="Įprastas 5 2 4 2 3 3 2 2" xfId="1645" xr:uid="{EFD06C89-0343-4E31-86F7-104D581662AE}"/>
    <cellStyle name="Įprastas 5 2 4 2 3 3 2 2 2" xfId="6435" xr:uid="{0DD0CA9A-B295-4AF5-A98C-08D596349DFB}"/>
    <cellStyle name="Įprastas 5 2 4 2 3 3 2 2 3" xfId="8163" xr:uid="{9ADC56D5-F1EB-45EA-A64C-2C2F96721E3C}"/>
    <cellStyle name="Įprastas 5 2 4 2 3 3 2 2 4" xfId="4707" xr:uid="{0BA717F0-5B83-4C20-9437-6EBE42561A7F}"/>
    <cellStyle name="Įprastas 5 2 4 2 3 3 2 2_8 priedas" xfId="9038" xr:uid="{272B59FE-F08D-4B80-86D9-F33BE7CD04E4}"/>
    <cellStyle name="Įprastas 5 2 4 2 3 3 2 3" xfId="2978" xr:uid="{1BAE6614-802A-4079-B329-4273B40561FD}"/>
    <cellStyle name="Įprastas 5 2 4 2 3 3 2 3 2" xfId="5571" xr:uid="{BE1E572B-4286-4EC4-8B78-464EBA97CA9D}"/>
    <cellStyle name="Įprastas 5 2 4 2 3 3 2 3_8 priedas" xfId="9039" xr:uid="{A4DB85E1-02D1-46A7-91AF-F1A748C6AE83}"/>
    <cellStyle name="Įprastas 5 2 4 2 3 3 2 4" xfId="7299" xr:uid="{4C0573F7-CE7A-4167-B3CF-A40C54E1AE3D}"/>
    <cellStyle name="Įprastas 5 2 4 2 3 3 2 5" xfId="3843" xr:uid="{983D72A9-F517-401B-A560-C483F264CD4D}"/>
    <cellStyle name="Įprastas 5 2 4 2 3 3 2_8 priedas" xfId="9037" xr:uid="{3A1FDC5B-13D9-41FF-AAD1-08649158575F}"/>
    <cellStyle name="Įprastas 5 2 4 2 3 3 3" xfId="1646" xr:uid="{41155EFE-C73A-4928-820C-536276281A25}"/>
    <cellStyle name="Įprastas 5 2 4 2 3 3 3 2" xfId="5815" xr:uid="{EAA107EB-CDD4-4B3C-A58D-FF231DCFF165}"/>
    <cellStyle name="Įprastas 5 2 4 2 3 3 3 3" xfId="7543" xr:uid="{67C5BABD-257C-4D02-A42F-0CB9B42BA3CB}"/>
    <cellStyle name="Įprastas 5 2 4 2 3 3 3 4" xfId="4087" xr:uid="{1F81CA61-3BB9-4DC2-B9E4-1EFB842FE890}"/>
    <cellStyle name="Įprastas 5 2 4 2 3 3 3_8 priedas" xfId="9040" xr:uid="{507285DB-6FDD-4AE3-BA84-7C6A9FAF55A4}"/>
    <cellStyle name="Įprastas 5 2 4 2 3 3 4" xfId="2358" xr:uid="{966CE266-0D86-48AC-A6B3-383E71367C20}"/>
    <cellStyle name="Įprastas 5 2 4 2 3 3 4 2" xfId="4951" xr:uid="{070E202A-EB72-4BA2-B6B7-A110C230A265}"/>
    <cellStyle name="Įprastas 5 2 4 2 3 3 4_8 priedas" xfId="9041" xr:uid="{6667EF9A-DF5C-4A59-9063-21AADB2B6F71}"/>
    <cellStyle name="Įprastas 5 2 4 2 3 3 5" xfId="6679" xr:uid="{A7BF52E8-5015-49B5-BDC9-F6108D7FF803}"/>
    <cellStyle name="Įprastas 5 2 4 2 3 3 6" xfId="3223" xr:uid="{C75DB35D-0B8B-43EC-BA56-225F6C0DF0D9}"/>
    <cellStyle name="Įprastas 5 2 4 2 3 3_8 priedas" xfId="1192" xr:uid="{00000000-0005-0000-0000-0000EB010000}"/>
    <cellStyle name="Įprastas 5 2 4 2 3 4" xfId="542" xr:uid="{00000000-0005-0000-0000-0000EC010000}"/>
    <cellStyle name="Įprastas 5 2 4 2 3 4 2" xfId="1647" xr:uid="{D5C02EE8-3767-4792-B444-3EDCF010C5E7}"/>
    <cellStyle name="Įprastas 5 2 4 2 3 4 2 2" xfId="6147" xr:uid="{53884B2A-6CDB-40AF-82B8-9925859C359A}"/>
    <cellStyle name="Įprastas 5 2 4 2 3 4 2 3" xfId="7875" xr:uid="{6ADBFA51-5DA2-4389-A629-BD20FABBA947}"/>
    <cellStyle name="Įprastas 5 2 4 2 3 4 2 4" xfId="4419" xr:uid="{0D51DD04-5F74-4D03-8CF3-671103ED20B2}"/>
    <cellStyle name="Įprastas 5 2 4 2 3 4 2_8 priedas" xfId="9043" xr:uid="{22F46E06-1870-414F-A667-16D3E452855D}"/>
    <cellStyle name="Įprastas 5 2 4 2 3 4 3" xfId="2690" xr:uid="{8D16B1D8-2034-4207-8A13-D71F183A80B9}"/>
    <cellStyle name="Įprastas 5 2 4 2 3 4 3 2" xfId="5283" xr:uid="{00747D9F-3E5A-411A-8731-2E016DF7E1CB}"/>
    <cellStyle name="Įprastas 5 2 4 2 3 4 3_8 priedas" xfId="9044" xr:uid="{33A941F8-B347-49B5-98A5-22E035721001}"/>
    <cellStyle name="Įprastas 5 2 4 2 3 4 4" xfId="7011" xr:uid="{678F7F29-6AAA-4547-871B-BB20C1DF9FAB}"/>
    <cellStyle name="Įprastas 5 2 4 2 3 4 5" xfId="3555" xr:uid="{4CCB4BFF-E977-4557-AC71-A3D899655D1F}"/>
    <cellStyle name="Įprastas 5 2 4 2 3 4_8 priedas" xfId="9042" xr:uid="{82C01D33-EA77-4DC5-AD83-9E125B8B6F19}"/>
    <cellStyle name="Įprastas 5 2 4 2 3 5" xfId="1648" xr:uid="{38270530-D4F5-4A31-AACF-787971D7A210}"/>
    <cellStyle name="Įprastas 5 2 4 2 3 5 2" xfId="5813" xr:uid="{BE28625C-64F8-42A2-8AC4-21C1991407FB}"/>
    <cellStyle name="Įprastas 5 2 4 2 3 5 3" xfId="7541" xr:uid="{5C142F36-E0B7-48F8-824F-66D794A18A61}"/>
    <cellStyle name="Įprastas 5 2 4 2 3 5 4" xfId="4085" xr:uid="{1FBBBCA5-51FC-47E1-88D5-35411F786BC0}"/>
    <cellStyle name="Įprastas 5 2 4 2 3 5_8 priedas" xfId="9045" xr:uid="{A49FA132-A318-4551-A63D-48143E9DAE04}"/>
    <cellStyle name="Įprastas 5 2 4 2 3 6" xfId="2356" xr:uid="{0A5A0553-2BC8-4C5F-933A-AE5E222CED55}"/>
    <cellStyle name="Įprastas 5 2 4 2 3 6 2" xfId="4949" xr:uid="{9EF22234-6207-4D9B-BE58-67E6FA1CA34D}"/>
    <cellStyle name="Įprastas 5 2 4 2 3 6_8 priedas" xfId="9046" xr:uid="{E1EEEC7F-669E-458D-9093-C4F7C72D1824}"/>
    <cellStyle name="Įprastas 5 2 4 2 3 7" xfId="6677" xr:uid="{9A1F0389-5C9C-4FA0-977C-3D3F2700917F}"/>
    <cellStyle name="Įprastas 5 2 4 2 3 8" xfId="3221" xr:uid="{0F9BB45D-85C4-4D1C-BCF9-ABF30AAAC9A3}"/>
    <cellStyle name="Įprastas 5 2 4 2 3_8 priedas" xfId="910" xr:uid="{00000000-0005-0000-0000-0000ED010000}"/>
    <cellStyle name="Įprastas 5 2 4 2 4" xfId="193" xr:uid="{00000000-0005-0000-0000-0000EE010000}"/>
    <cellStyle name="Įprastas 5 2 4 2 4 2" xfId="194" xr:uid="{00000000-0005-0000-0000-0000EF010000}"/>
    <cellStyle name="Įprastas 5 2 4 2 4 2 2" xfId="734" xr:uid="{00000000-0005-0000-0000-0000F0010000}"/>
    <cellStyle name="Įprastas 5 2 4 2 4 2 2 2" xfId="1649" xr:uid="{B151792F-93E6-4820-A32C-22CF6CB5603C}"/>
    <cellStyle name="Įprastas 5 2 4 2 4 2 2 2 2" xfId="6339" xr:uid="{0A5B16AC-8852-48F2-8A83-4E82FA1835BA}"/>
    <cellStyle name="Įprastas 5 2 4 2 4 2 2 2 3" xfId="8067" xr:uid="{375DEC70-ECA7-4AE6-A5A2-8205C57BA2B4}"/>
    <cellStyle name="Įprastas 5 2 4 2 4 2 2 2 4" xfId="4611" xr:uid="{F8A0F434-55FA-4298-9D13-C1C333AA8C7F}"/>
    <cellStyle name="Įprastas 5 2 4 2 4 2 2 2_8 priedas" xfId="9048" xr:uid="{B2358C40-855C-476C-935D-955FE818C261}"/>
    <cellStyle name="Įprastas 5 2 4 2 4 2 2 3" xfId="2882" xr:uid="{265A0E62-3D21-4F3A-AB2F-97C5657A7DF4}"/>
    <cellStyle name="Įprastas 5 2 4 2 4 2 2 3 2" xfId="5475" xr:uid="{4E65F8A4-5627-4C61-A67C-85C01F85018F}"/>
    <cellStyle name="Įprastas 5 2 4 2 4 2 2 3_8 priedas" xfId="9049" xr:uid="{333F9342-ACEF-4197-B9BB-960270D3415D}"/>
    <cellStyle name="Įprastas 5 2 4 2 4 2 2 4" xfId="7203" xr:uid="{056C7CC7-C4B7-4D58-9B3E-94EB1AAA4640}"/>
    <cellStyle name="Įprastas 5 2 4 2 4 2 2 5" xfId="3747" xr:uid="{981BCFF4-057A-4EF4-9E9A-D4E04328A7CB}"/>
    <cellStyle name="Įprastas 5 2 4 2 4 2 2_8 priedas" xfId="9047" xr:uid="{93DD3FDF-F9B7-402A-8C90-40726E25E23D}"/>
    <cellStyle name="Įprastas 5 2 4 2 4 2 3" xfId="1650" xr:uid="{E35655F2-44A6-4918-9A32-B0159E7B9A24}"/>
    <cellStyle name="Įprastas 5 2 4 2 4 2 3 2" xfId="5817" xr:uid="{90AC7604-3830-44B3-8AF3-5895756D538B}"/>
    <cellStyle name="Įprastas 5 2 4 2 4 2 3 3" xfId="7545" xr:uid="{1B3DF604-03DB-4775-8470-4B2E44762C4B}"/>
    <cellStyle name="Įprastas 5 2 4 2 4 2 3 4" xfId="4089" xr:uid="{779982BC-EE4F-43A4-AC19-3FCD0722B3C3}"/>
    <cellStyle name="Įprastas 5 2 4 2 4 2 3_8 priedas" xfId="9050" xr:uid="{6CD88830-C028-466C-B1E0-A18A72468FD3}"/>
    <cellStyle name="Įprastas 5 2 4 2 4 2 4" xfId="2360" xr:uid="{43EA3A50-2036-4BEE-9C7C-013E580B679A}"/>
    <cellStyle name="Įprastas 5 2 4 2 4 2 4 2" xfId="4953" xr:uid="{6A28B46A-E908-41A2-9324-B1D0E61F5557}"/>
    <cellStyle name="Įprastas 5 2 4 2 4 2 4_8 priedas" xfId="9051" xr:uid="{B15C5E20-9E6F-4DBA-82DA-1A73C7EFEDB4}"/>
    <cellStyle name="Įprastas 5 2 4 2 4 2 5" xfId="6681" xr:uid="{221AB2E4-8F32-44C4-B21C-A0D1EB70BAD4}"/>
    <cellStyle name="Įprastas 5 2 4 2 4 2 6" xfId="3225" xr:uid="{2ADD9599-510A-4001-8932-D5F58C0377CE}"/>
    <cellStyle name="Įprastas 5 2 4 2 4 2_8 priedas" xfId="1282" xr:uid="{00000000-0005-0000-0000-0000F1010000}"/>
    <cellStyle name="Įprastas 5 2 4 2 4 3" xfId="195" xr:uid="{00000000-0005-0000-0000-0000F2010000}"/>
    <cellStyle name="Įprastas 5 2 4 2 4 3 2" xfId="878" xr:uid="{00000000-0005-0000-0000-0000F3010000}"/>
    <cellStyle name="Įprastas 5 2 4 2 4 3 2 2" xfId="1651" xr:uid="{68752074-9B49-4D69-AACA-2AF03D34E204}"/>
    <cellStyle name="Įprastas 5 2 4 2 4 3 2 2 2" xfId="6483" xr:uid="{851A3C4E-98FD-466C-8C62-17BFA5D2F657}"/>
    <cellStyle name="Įprastas 5 2 4 2 4 3 2 2 3" xfId="8211" xr:uid="{9573D1EA-354D-419C-97F4-0E74B502C2C8}"/>
    <cellStyle name="Įprastas 5 2 4 2 4 3 2 2 4" xfId="4755" xr:uid="{6E7B0040-FD64-4924-8F3C-5ABDF5A67FCD}"/>
    <cellStyle name="Įprastas 5 2 4 2 4 3 2 2_8 priedas" xfId="9053" xr:uid="{ADC3EEA0-9502-4C07-BF55-819223981585}"/>
    <cellStyle name="Įprastas 5 2 4 2 4 3 2 3" xfId="3026" xr:uid="{E915F54A-AD5D-4663-9B4D-218F67A9316D}"/>
    <cellStyle name="Įprastas 5 2 4 2 4 3 2 3 2" xfId="5619" xr:uid="{F771314F-BFDF-4689-B812-73972445745C}"/>
    <cellStyle name="Įprastas 5 2 4 2 4 3 2 3_8 priedas" xfId="9054" xr:uid="{0619A5CE-1880-40F8-91DC-31127E63F620}"/>
    <cellStyle name="Įprastas 5 2 4 2 4 3 2 4" xfId="7347" xr:uid="{A839B87B-D6E4-40F7-A030-89EFF581E1F0}"/>
    <cellStyle name="Įprastas 5 2 4 2 4 3 2 5" xfId="3891" xr:uid="{42C7B808-4522-4D11-8DE1-85F822B5670A}"/>
    <cellStyle name="Įprastas 5 2 4 2 4 3 2_8 priedas" xfId="9052" xr:uid="{CDE97CD7-8BAB-438B-B451-B6BA389A5541}"/>
    <cellStyle name="Įprastas 5 2 4 2 4 3 3" xfId="1652" xr:uid="{3ECC2BA1-7175-44BF-815F-1172E32CD6EB}"/>
    <cellStyle name="Įprastas 5 2 4 2 4 3 3 2" xfId="5818" xr:uid="{DCC78AFD-3CF0-4FB6-82C2-41D402B5A317}"/>
    <cellStyle name="Įprastas 5 2 4 2 4 3 3 3" xfId="7546" xr:uid="{D91FDA2E-BF6C-4BA0-AC02-E54DDCB60C1E}"/>
    <cellStyle name="Įprastas 5 2 4 2 4 3 3 4" xfId="4090" xr:uid="{A7FE5EB7-F8A3-41FA-AAC2-659D5D7B5E9E}"/>
    <cellStyle name="Įprastas 5 2 4 2 4 3 3_8 priedas" xfId="9055" xr:uid="{A0D5BD49-0F14-4DCB-91D9-C9C76E68163C}"/>
    <cellStyle name="Įprastas 5 2 4 2 4 3 4" xfId="2361" xr:uid="{5BCC14E1-12C1-4254-B854-AB73BB2FB7B9}"/>
    <cellStyle name="Įprastas 5 2 4 2 4 3 4 2" xfId="4954" xr:uid="{8DB3E85C-0409-44DE-8AF4-35F83CC16F5D}"/>
    <cellStyle name="Įprastas 5 2 4 2 4 3 4_8 priedas" xfId="9056" xr:uid="{574E355C-5309-4BA9-9764-745BD93B287B}"/>
    <cellStyle name="Įprastas 5 2 4 2 4 3 5" xfId="6682" xr:uid="{67CA5303-196F-4037-865B-DB54D4205E67}"/>
    <cellStyle name="Įprastas 5 2 4 2 4 3 6" xfId="3226" xr:uid="{22DDD648-9EF7-48B7-A3B9-9874FF14B0DC}"/>
    <cellStyle name="Įprastas 5 2 4 2 4 3_8 priedas" xfId="1146" xr:uid="{00000000-0005-0000-0000-0000F4010000}"/>
    <cellStyle name="Įprastas 5 2 4 2 4 4" xfId="590" xr:uid="{00000000-0005-0000-0000-0000F5010000}"/>
    <cellStyle name="Įprastas 5 2 4 2 4 4 2" xfId="1653" xr:uid="{44621E2E-7A84-43DD-9ADE-1C2CDE2A864A}"/>
    <cellStyle name="Įprastas 5 2 4 2 4 4 2 2" xfId="6195" xr:uid="{B920EFEE-147E-4F5C-B895-88AD237B0050}"/>
    <cellStyle name="Įprastas 5 2 4 2 4 4 2 3" xfId="7923" xr:uid="{65AA6761-C0B4-476F-BCCC-42A11FB8A172}"/>
    <cellStyle name="Įprastas 5 2 4 2 4 4 2 4" xfId="4467" xr:uid="{DCD2E142-271D-4EAD-9C37-16651232B39C}"/>
    <cellStyle name="Įprastas 5 2 4 2 4 4 2_8 priedas" xfId="9058" xr:uid="{2E86DDCD-B70F-4195-95B3-101DE3F8A7CA}"/>
    <cellStyle name="Įprastas 5 2 4 2 4 4 3" xfId="2738" xr:uid="{9EFEB2F0-DDC5-4F97-B6FA-FBB00D24957B}"/>
    <cellStyle name="Įprastas 5 2 4 2 4 4 3 2" xfId="5331" xr:uid="{86A0EE7D-A01D-49B7-95D3-4C470312121D}"/>
    <cellStyle name="Įprastas 5 2 4 2 4 4 3_8 priedas" xfId="9059" xr:uid="{69F1E907-8090-4C4F-A4F3-6A7DB04C5218}"/>
    <cellStyle name="Įprastas 5 2 4 2 4 4 4" xfId="7059" xr:uid="{1A4576C2-B658-4517-84BB-C6D73D746065}"/>
    <cellStyle name="Įprastas 5 2 4 2 4 4 5" xfId="3603" xr:uid="{0C913C2F-2DFF-4692-AE08-A46A79386D14}"/>
    <cellStyle name="Įprastas 5 2 4 2 4 4_8 priedas" xfId="9057" xr:uid="{49B7A8A0-9395-4C88-BB1A-F97A72B04698}"/>
    <cellStyle name="Įprastas 5 2 4 2 4 5" xfId="1654" xr:uid="{2C83D7DC-6FF5-4349-B0D5-68F40B52740C}"/>
    <cellStyle name="Įprastas 5 2 4 2 4 5 2" xfId="5816" xr:uid="{59DA37AD-C8BE-434F-9C4F-019E84BA9F79}"/>
    <cellStyle name="Įprastas 5 2 4 2 4 5 3" xfId="7544" xr:uid="{51D0D5C7-7790-4B24-AA07-FDBFFEC9CDB1}"/>
    <cellStyle name="Įprastas 5 2 4 2 4 5 4" xfId="4088" xr:uid="{561808B8-037D-4182-8FB4-AD16E9D762BF}"/>
    <cellStyle name="Įprastas 5 2 4 2 4 5_8 priedas" xfId="9060" xr:uid="{FB7A19E1-947F-4C05-BE3E-A04660F120D5}"/>
    <cellStyle name="Įprastas 5 2 4 2 4 6" xfId="2359" xr:uid="{9D435AA4-B6E3-4891-B96B-5425820C320B}"/>
    <cellStyle name="Įprastas 5 2 4 2 4 6 2" xfId="4952" xr:uid="{4D5DEB45-0664-4EF9-B8CC-871B36403868}"/>
    <cellStyle name="Įprastas 5 2 4 2 4 6_8 priedas" xfId="9061" xr:uid="{D7845928-252C-4469-A6C3-4ABD52461733}"/>
    <cellStyle name="Įprastas 5 2 4 2 4 7" xfId="6680" xr:uid="{40C760FB-A9A8-4DEB-870E-877AD9965EE0}"/>
    <cellStyle name="Įprastas 5 2 4 2 4 8" xfId="3224" xr:uid="{C7F1AD92-A0B8-4B6E-AE48-3C768B439C3F}"/>
    <cellStyle name="Įprastas 5 2 4 2 4_8 priedas" xfId="1057" xr:uid="{00000000-0005-0000-0000-0000F6010000}"/>
    <cellStyle name="Įprastas 5 2 4 2 5" xfId="196" xr:uid="{00000000-0005-0000-0000-0000F7010000}"/>
    <cellStyle name="Įprastas 5 2 4 2 5 2" xfId="638" xr:uid="{00000000-0005-0000-0000-0000F8010000}"/>
    <cellStyle name="Įprastas 5 2 4 2 5 2 2" xfId="1655" xr:uid="{6882B9E1-A991-4C17-AA61-15C520FF5305}"/>
    <cellStyle name="Įprastas 5 2 4 2 5 2 2 2" xfId="6243" xr:uid="{EAA2FC5B-57BD-45E3-AE77-D102B09885D7}"/>
    <cellStyle name="Įprastas 5 2 4 2 5 2 2 3" xfId="7971" xr:uid="{498A1DB9-F625-489E-82C9-B8D0AC739B42}"/>
    <cellStyle name="Įprastas 5 2 4 2 5 2 2 4" xfId="4515" xr:uid="{A2BA2648-E9B7-4C8A-9641-354E95BF449B}"/>
    <cellStyle name="Įprastas 5 2 4 2 5 2 2_8 priedas" xfId="9063" xr:uid="{048CAC45-97D0-4338-BF51-485203AC21BC}"/>
    <cellStyle name="Įprastas 5 2 4 2 5 2 3" xfId="2786" xr:uid="{C73A806C-08C2-47AD-8BA9-0ADEA4C8BB26}"/>
    <cellStyle name="Įprastas 5 2 4 2 5 2 3 2" xfId="5379" xr:uid="{F5BE676C-F2CA-4198-A1C5-BCDD3195531F}"/>
    <cellStyle name="Įprastas 5 2 4 2 5 2 3_8 priedas" xfId="9064" xr:uid="{B37FC902-5A5F-45D9-8C87-D693998BE384}"/>
    <cellStyle name="Įprastas 5 2 4 2 5 2 4" xfId="7107" xr:uid="{3B0A2248-B386-4FD5-9273-9B924718ED7B}"/>
    <cellStyle name="Įprastas 5 2 4 2 5 2 5" xfId="3651" xr:uid="{3B61F95F-746B-4CE4-827C-8C4079183E9A}"/>
    <cellStyle name="Įprastas 5 2 4 2 5 2_8 priedas" xfId="9062" xr:uid="{A914EFC8-8915-4341-979A-9422D4141E1F}"/>
    <cellStyle name="Įprastas 5 2 4 2 5 3" xfId="1656" xr:uid="{072F6F0F-2E65-4E4E-AB0E-8FCA9B643468}"/>
    <cellStyle name="Įprastas 5 2 4 2 5 3 2" xfId="5819" xr:uid="{B06C79FE-35EF-40ED-B820-0B1CFD1565C6}"/>
    <cellStyle name="Įprastas 5 2 4 2 5 3 3" xfId="7547" xr:uid="{D5FE55D3-61EF-4111-BCC8-F6580342E263}"/>
    <cellStyle name="Įprastas 5 2 4 2 5 3 4" xfId="4091" xr:uid="{A4EE5B75-999B-4069-886E-0CFF442C1B3A}"/>
    <cellStyle name="Įprastas 5 2 4 2 5 3_8 priedas" xfId="9065" xr:uid="{6B78E0B4-A733-4639-9BE8-9360CAFBDEE3}"/>
    <cellStyle name="Įprastas 5 2 4 2 5 4" xfId="2362" xr:uid="{69B93131-C044-4D96-B64B-E984FCD07BEB}"/>
    <cellStyle name="Įprastas 5 2 4 2 5 4 2" xfId="4955" xr:uid="{609C505D-1C67-4449-8693-84156EA2E554}"/>
    <cellStyle name="Įprastas 5 2 4 2 5 4_8 priedas" xfId="9066" xr:uid="{9E8F4F74-6897-4C5A-AE5D-A1E430C25377}"/>
    <cellStyle name="Įprastas 5 2 4 2 5 5" xfId="6683" xr:uid="{F99F4A7E-995A-4EA7-AACE-3292B044437D}"/>
    <cellStyle name="Įprastas 5 2 4 2 5 6" xfId="3227" xr:uid="{602A79CC-99E0-4F20-8A69-490FBEB87F97}"/>
    <cellStyle name="Įprastas 5 2 4 2 5_8 priedas" xfId="1010" xr:uid="{00000000-0005-0000-0000-0000F9010000}"/>
    <cellStyle name="Įprastas 5 2 4 2 6" xfId="197" xr:uid="{00000000-0005-0000-0000-0000FA010000}"/>
    <cellStyle name="Įprastas 5 2 4 2 6 2" xfId="782" xr:uid="{00000000-0005-0000-0000-0000FB010000}"/>
    <cellStyle name="Įprastas 5 2 4 2 6 2 2" xfId="1657" xr:uid="{920078FA-EC11-4528-BF80-B41763B3DBCF}"/>
    <cellStyle name="Įprastas 5 2 4 2 6 2 2 2" xfId="6387" xr:uid="{C1463D68-90B6-49AD-B9EC-922287AB646E}"/>
    <cellStyle name="Įprastas 5 2 4 2 6 2 2 3" xfId="8115" xr:uid="{D8C585BC-206A-4D5C-B9B6-C7AC33F2D982}"/>
    <cellStyle name="Įprastas 5 2 4 2 6 2 2 4" xfId="4659" xr:uid="{18976274-4E4D-4D2C-807E-F47FE66F41CA}"/>
    <cellStyle name="Įprastas 5 2 4 2 6 2 2_8 priedas" xfId="9068" xr:uid="{84CF4D6A-CCB3-42DF-8654-0C62B10574C2}"/>
    <cellStyle name="Įprastas 5 2 4 2 6 2 3" xfId="2930" xr:uid="{0A267313-C30D-450F-80EB-176686B97E60}"/>
    <cellStyle name="Įprastas 5 2 4 2 6 2 3 2" xfId="5523" xr:uid="{6878808B-7BBC-41DD-A6A6-5F69C085C015}"/>
    <cellStyle name="Įprastas 5 2 4 2 6 2 3_8 priedas" xfId="9069" xr:uid="{CC5A4A6E-A827-4768-A1F9-25EFF53BA96B}"/>
    <cellStyle name="Įprastas 5 2 4 2 6 2 4" xfId="7251" xr:uid="{8CAE04F8-0E0D-4236-99A3-8756E2CEB85D}"/>
    <cellStyle name="Įprastas 5 2 4 2 6 2 5" xfId="3795" xr:uid="{49ABEE58-152B-48B5-B900-31B94FC3A7FA}"/>
    <cellStyle name="Įprastas 5 2 4 2 6 2_8 priedas" xfId="9067" xr:uid="{10583020-46C5-4E4A-82F2-B0998152F1CF}"/>
    <cellStyle name="Įprastas 5 2 4 2 6 3" xfId="1658" xr:uid="{6BA8D729-9F86-4C3B-BFE4-C87B6F59B379}"/>
    <cellStyle name="Įprastas 5 2 4 2 6 3 2" xfId="5820" xr:uid="{12F8FF20-FFDF-4159-81AA-44E8078172B7}"/>
    <cellStyle name="Įprastas 5 2 4 2 6 3 3" xfId="7548" xr:uid="{DE8C803F-352B-49FB-B049-58663CEB4F13}"/>
    <cellStyle name="Įprastas 5 2 4 2 6 3 4" xfId="4092" xr:uid="{3F5B00DD-C392-444E-B36A-2A46F027518C}"/>
    <cellStyle name="Įprastas 5 2 4 2 6 3_8 priedas" xfId="9070" xr:uid="{5F081BFE-286D-43D7-B3FA-1B985C4DF5E3}"/>
    <cellStyle name="Įprastas 5 2 4 2 6 4" xfId="2363" xr:uid="{7457358E-9AA1-4568-8BA1-4EE44E42D03F}"/>
    <cellStyle name="Įprastas 5 2 4 2 6 4 2" xfId="4956" xr:uid="{B78341B7-A119-49CD-BE17-3CB17EBAEDFD}"/>
    <cellStyle name="Įprastas 5 2 4 2 6 4_8 priedas" xfId="9071" xr:uid="{0CB44B99-6FC2-41CB-8EAE-4C2EED1A8823}"/>
    <cellStyle name="Įprastas 5 2 4 2 6 5" xfId="6684" xr:uid="{C9DDCEC8-B546-4C4A-938F-F9FB9592372A}"/>
    <cellStyle name="Įprastas 5 2 4 2 6 6" xfId="3228" xr:uid="{EB17F531-4F39-4247-A64D-C4DF9DEF990C}"/>
    <cellStyle name="Įprastas 5 2 4 2 6_8 priedas" xfId="1236" xr:uid="{00000000-0005-0000-0000-0000FC010000}"/>
    <cellStyle name="Įprastas 5 2 4 2 7" xfId="494" xr:uid="{00000000-0005-0000-0000-0000FD010000}"/>
    <cellStyle name="Įprastas 5 2 4 2 7 2" xfId="1659" xr:uid="{953AB6FC-5593-46DA-99C4-79A415ADC5F6}"/>
    <cellStyle name="Įprastas 5 2 4 2 7 2 2" xfId="6099" xr:uid="{7EF9C3D3-0916-4116-99C0-763D01157AF7}"/>
    <cellStyle name="Įprastas 5 2 4 2 7 2 3" xfId="7827" xr:uid="{FB7C4A7B-92BC-4053-B015-C962F85468C1}"/>
    <cellStyle name="Įprastas 5 2 4 2 7 2 4" xfId="4371" xr:uid="{400A6D57-E804-43DD-B093-2DC0C62CCA55}"/>
    <cellStyle name="Įprastas 5 2 4 2 7 2_8 priedas" xfId="9073" xr:uid="{48C0C131-CB39-4AA4-8004-516285B8AB50}"/>
    <cellStyle name="Įprastas 5 2 4 2 7 3" xfId="2642" xr:uid="{C981C439-77EE-4F5A-94F2-7EC12545D244}"/>
    <cellStyle name="Įprastas 5 2 4 2 7 3 2" xfId="5235" xr:uid="{B640485C-125A-42B4-BCDC-203703A0930A}"/>
    <cellStyle name="Įprastas 5 2 4 2 7 3_8 priedas" xfId="9074" xr:uid="{9501A45A-EB1E-41F7-9CB2-0D8A442F57F8}"/>
    <cellStyle name="Įprastas 5 2 4 2 7 4" xfId="6963" xr:uid="{48B976BD-2961-4254-A92C-A46BCA87FD63}"/>
    <cellStyle name="Įprastas 5 2 4 2 7 5" xfId="3507" xr:uid="{4A9921B7-1E0C-468E-987C-95DBF09FC69D}"/>
    <cellStyle name="Įprastas 5 2 4 2 7_8 priedas" xfId="9072" xr:uid="{B6B6936C-7BF4-4C1C-AA8C-73CDE902E545}"/>
    <cellStyle name="Įprastas 5 2 4 2 8" xfId="1660" xr:uid="{7C54BDE8-81FB-403F-BF79-036524FF2F87}"/>
    <cellStyle name="Įprastas 5 2 4 2 8 2" xfId="5803" xr:uid="{3835DF3E-C2B4-43F3-9250-36ADAD9B49C7}"/>
    <cellStyle name="Įprastas 5 2 4 2 8 3" xfId="7531" xr:uid="{E0672EB7-4554-455E-BAA0-406DD0D47C27}"/>
    <cellStyle name="Įprastas 5 2 4 2 8 4" xfId="4075" xr:uid="{D005704C-F48F-4A31-8B99-688BFF961763}"/>
    <cellStyle name="Įprastas 5 2 4 2 8_8 priedas" xfId="9075" xr:uid="{F526A9E7-D19F-4926-87AF-CCBE6F64B5D6}"/>
    <cellStyle name="Įprastas 5 2 4 2 9" xfId="2346" xr:uid="{44CC854E-34F1-45C0-898F-1831552AF9DB}"/>
    <cellStyle name="Įprastas 5 2 4 2 9 2" xfId="4939" xr:uid="{773487EA-4FCF-4F63-82D8-19D92A6F5A48}"/>
    <cellStyle name="Įprastas 5 2 4 2 9_8 priedas" xfId="9076" xr:uid="{4962B043-795F-47CE-9B79-AEC0620305E0}"/>
    <cellStyle name="Įprastas 5 2 4 2_8 priedas" xfId="1100" xr:uid="{00000000-0005-0000-0000-0000FE010000}"/>
    <cellStyle name="Įprastas 5 2 4 3" xfId="198" xr:uid="{00000000-0005-0000-0000-0000FF010000}"/>
    <cellStyle name="Įprastas 5 2 4 3 10" xfId="3229" xr:uid="{F8A0005B-DA6A-4ECC-903A-D777C6BAC817}"/>
    <cellStyle name="Įprastas 5 2 4 3 2" xfId="199" xr:uid="{00000000-0005-0000-0000-000000020000}"/>
    <cellStyle name="Įprastas 5 2 4 3 2 2" xfId="200" xr:uid="{00000000-0005-0000-0000-000001020000}"/>
    <cellStyle name="Įprastas 5 2 4 3 2 2 2" xfId="698" xr:uid="{00000000-0005-0000-0000-000002020000}"/>
    <cellStyle name="Įprastas 5 2 4 3 2 2 2 2" xfId="1661" xr:uid="{06F01C7E-5891-40EF-A5F1-7A041F3D504C}"/>
    <cellStyle name="Įprastas 5 2 4 3 2 2 2 2 2" xfId="6303" xr:uid="{B2D9EB2E-193F-4985-BDEA-11780377738B}"/>
    <cellStyle name="Įprastas 5 2 4 3 2 2 2 2 3" xfId="8031" xr:uid="{13C49682-F8D3-4E6E-93C8-1F177A1CD4AD}"/>
    <cellStyle name="Įprastas 5 2 4 3 2 2 2 2 4" xfId="4575" xr:uid="{871EE7F4-7B0F-4152-BC02-A21A570ABB99}"/>
    <cellStyle name="Įprastas 5 2 4 3 2 2 2 2_8 priedas" xfId="9078" xr:uid="{051EDC34-8651-4259-8BC6-6537B5CEC174}"/>
    <cellStyle name="Įprastas 5 2 4 3 2 2 2 3" xfId="2846" xr:uid="{3BE2D09D-9D9C-4CA3-AEA1-B5618BF8772B}"/>
    <cellStyle name="Įprastas 5 2 4 3 2 2 2 3 2" xfId="5439" xr:uid="{0F7BFCF5-754B-46BF-8421-FD467AF5C9C6}"/>
    <cellStyle name="Įprastas 5 2 4 3 2 2 2 3_8 priedas" xfId="9079" xr:uid="{F26053CF-1553-4F89-9A08-7E5B231C7D90}"/>
    <cellStyle name="Įprastas 5 2 4 3 2 2 2 4" xfId="7167" xr:uid="{CC68E907-EC34-43E2-A3AC-C23B1A486278}"/>
    <cellStyle name="Įprastas 5 2 4 3 2 2 2 5" xfId="3711" xr:uid="{EBAA25D2-825E-488E-AD1F-BBCABDFE378A}"/>
    <cellStyle name="Įprastas 5 2 4 3 2 2 2_8 priedas" xfId="9077" xr:uid="{BD0206AF-0A3C-46D4-9936-069D5BF61AD3}"/>
    <cellStyle name="Įprastas 5 2 4 3 2 2 3" xfId="1662" xr:uid="{C6C25A72-AA76-4CCA-B73A-172035EC97D5}"/>
    <cellStyle name="Įprastas 5 2 4 3 2 2 3 2" xfId="5823" xr:uid="{2B6E182A-3E40-4FB6-8107-F687482E79B4}"/>
    <cellStyle name="Įprastas 5 2 4 3 2 2 3 3" xfId="7551" xr:uid="{735F3D3B-5F52-486A-B329-59712D387780}"/>
    <cellStyle name="Įprastas 5 2 4 3 2 2 3 4" xfId="4095" xr:uid="{3AC54FE0-7FC5-4F20-ADEF-DA4A56C7970A}"/>
    <cellStyle name="Įprastas 5 2 4 3 2 2 3_8 priedas" xfId="9080" xr:uid="{DB52A84A-52DA-4A83-B0B7-D177B84596B4}"/>
    <cellStyle name="Įprastas 5 2 4 3 2 2 4" xfId="2366" xr:uid="{1EC8211F-5650-443D-AD30-662E3E18272D}"/>
    <cellStyle name="Įprastas 5 2 4 3 2 2 4 2" xfId="4959" xr:uid="{E4A25EB0-7A35-4D49-8C7F-CA9C011077D1}"/>
    <cellStyle name="Įprastas 5 2 4 3 2 2 4_8 priedas" xfId="9081" xr:uid="{59F51BDC-9881-4E8C-B22C-9DEA2622CAC8}"/>
    <cellStyle name="Įprastas 5 2 4 3 2 2 5" xfId="6687" xr:uid="{550BF898-9939-4809-ABF8-98832321F6FC}"/>
    <cellStyle name="Įprastas 5 2 4 3 2 2 6" xfId="3231" xr:uid="{8A550B1A-4EEB-4C69-A34F-D0702732BC4B}"/>
    <cellStyle name="Įprastas 5 2 4 3 2 2_8 priedas" xfId="1217" xr:uid="{00000000-0005-0000-0000-000003020000}"/>
    <cellStyle name="Įprastas 5 2 4 3 2 3" xfId="201" xr:uid="{00000000-0005-0000-0000-000004020000}"/>
    <cellStyle name="Įprastas 5 2 4 3 2 3 2" xfId="842" xr:uid="{00000000-0005-0000-0000-000005020000}"/>
    <cellStyle name="Įprastas 5 2 4 3 2 3 2 2" xfId="1663" xr:uid="{C513E5A6-95A0-4E3C-AA6F-78DCC8C2788C}"/>
    <cellStyle name="Įprastas 5 2 4 3 2 3 2 2 2" xfId="6447" xr:uid="{E635D2B0-835D-40B1-9C76-F703DE00B58A}"/>
    <cellStyle name="Įprastas 5 2 4 3 2 3 2 2 3" xfId="8175" xr:uid="{C9DE6FCC-C746-4374-8FEC-D6F82312B7E0}"/>
    <cellStyle name="Įprastas 5 2 4 3 2 3 2 2 4" xfId="4719" xr:uid="{F1B4E2FD-AF64-4A8B-8F83-331A18E2C92D}"/>
    <cellStyle name="Įprastas 5 2 4 3 2 3 2 2_8 priedas" xfId="9083" xr:uid="{2E10C11B-DF8A-48B8-9E67-2700E2153B66}"/>
    <cellStyle name="Įprastas 5 2 4 3 2 3 2 3" xfId="2990" xr:uid="{7128688B-0BBC-4C2C-AE0C-B09C74F663ED}"/>
    <cellStyle name="Įprastas 5 2 4 3 2 3 2 3 2" xfId="5583" xr:uid="{10FAA751-CDE9-4B5F-9BC5-153DB40F69BC}"/>
    <cellStyle name="Įprastas 5 2 4 3 2 3 2 3_8 priedas" xfId="9084" xr:uid="{9280C25F-775B-4801-9782-B543C420A9BC}"/>
    <cellStyle name="Įprastas 5 2 4 3 2 3 2 4" xfId="7311" xr:uid="{26762356-0E7E-46D2-990D-AB4FF86D4F2E}"/>
    <cellStyle name="Įprastas 5 2 4 3 2 3 2 5" xfId="3855" xr:uid="{E3B3DF13-1E4E-42D3-9B23-42FC9E5E6D32}"/>
    <cellStyle name="Įprastas 5 2 4 3 2 3 2_8 priedas" xfId="9082" xr:uid="{615EC2FE-7005-4792-BDE3-A24C9B41BEF0}"/>
    <cellStyle name="Įprastas 5 2 4 3 2 3 3" xfId="1664" xr:uid="{D0C42779-6F44-4C90-9738-3D2004C1B06B}"/>
    <cellStyle name="Įprastas 5 2 4 3 2 3 3 2" xfId="5824" xr:uid="{C3293205-8313-4CA1-B359-C0F12CDC29EB}"/>
    <cellStyle name="Įprastas 5 2 4 3 2 3 3 3" xfId="7552" xr:uid="{5E45B3B0-F71C-4BC7-ABD1-E3037AC0F1AD}"/>
    <cellStyle name="Įprastas 5 2 4 3 2 3 3 4" xfId="4096" xr:uid="{9F7F2E31-FD35-49F7-B4AC-56C8DE3DED43}"/>
    <cellStyle name="Įprastas 5 2 4 3 2 3 3_8 priedas" xfId="9085" xr:uid="{27A1747A-578A-4B72-8C86-1F0EEA5AE5C9}"/>
    <cellStyle name="Įprastas 5 2 4 3 2 3 4" xfId="2367" xr:uid="{272362DC-7883-4D67-9821-E9B47C02407E}"/>
    <cellStyle name="Įprastas 5 2 4 3 2 3 4 2" xfId="4960" xr:uid="{79A6704C-C0C3-4B7A-8033-60662512A12D}"/>
    <cellStyle name="Įprastas 5 2 4 3 2 3 4_8 priedas" xfId="9086" xr:uid="{C03F148F-ED38-4A16-9DF8-28F93A37C7E0}"/>
    <cellStyle name="Įprastas 5 2 4 3 2 3 5" xfId="6688" xr:uid="{BDB56F9A-02B0-422E-8AA3-C5963083398D}"/>
    <cellStyle name="Įprastas 5 2 4 3 2 3 6" xfId="3232" xr:uid="{21C9D78A-07DD-43DC-808B-F1CE151A844C}"/>
    <cellStyle name="Įprastas 5 2 4 3 2 3_8 priedas" xfId="1083" xr:uid="{00000000-0005-0000-0000-000006020000}"/>
    <cellStyle name="Įprastas 5 2 4 3 2 4" xfId="554" xr:uid="{00000000-0005-0000-0000-000007020000}"/>
    <cellStyle name="Įprastas 5 2 4 3 2 4 2" xfId="1665" xr:uid="{1E7318F3-0BD6-45E6-B055-E25149AE25B1}"/>
    <cellStyle name="Įprastas 5 2 4 3 2 4 2 2" xfId="6159" xr:uid="{3846F8C8-906E-4512-A596-942150561A9D}"/>
    <cellStyle name="Įprastas 5 2 4 3 2 4 2 3" xfId="7887" xr:uid="{BCE7DAF9-C498-435B-A7ED-21F5A8C5D3A9}"/>
    <cellStyle name="Įprastas 5 2 4 3 2 4 2 4" xfId="4431" xr:uid="{8C933283-99AC-449B-BB30-165F8850B8FB}"/>
    <cellStyle name="Įprastas 5 2 4 3 2 4 2_8 priedas" xfId="9088" xr:uid="{9AF532E3-7F41-4EE7-98DF-0EE7440CEAFB}"/>
    <cellStyle name="Įprastas 5 2 4 3 2 4 3" xfId="2702" xr:uid="{B004112F-FA04-4A7C-9452-A726F3C3E871}"/>
    <cellStyle name="Įprastas 5 2 4 3 2 4 3 2" xfId="5295" xr:uid="{FADA255A-6674-4EB8-96F8-D7C7E7CF094F}"/>
    <cellStyle name="Įprastas 5 2 4 3 2 4 3_8 priedas" xfId="9089" xr:uid="{082FA7D0-5FDB-46C6-BDAC-49262E915FCB}"/>
    <cellStyle name="Įprastas 5 2 4 3 2 4 4" xfId="7023" xr:uid="{73D63148-30D6-4544-A739-48C9CEEA75B0}"/>
    <cellStyle name="Įprastas 5 2 4 3 2 4 5" xfId="3567" xr:uid="{CE2898DF-DC14-401B-AC71-EBDEFB76B101}"/>
    <cellStyle name="Įprastas 5 2 4 3 2 4_8 priedas" xfId="9087" xr:uid="{0DCBFD6E-BDDE-466A-AB44-CEBAD7014B7A}"/>
    <cellStyle name="Įprastas 5 2 4 3 2 5" xfId="1666" xr:uid="{F0C0A3BA-692C-4797-9CB3-5E15133812F7}"/>
    <cellStyle name="Įprastas 5 2 4 3 2 5 2" xfId="5822" xr:uid="{5BAB2139-011B-4DC6-A566-E828E3033E76}"/>
    <cellStyle name="Įprastas 5 2 4 3 2 5 3" xfId="7550" xr:uid="{1508233F-701E-43F1-A436-181DB8CF0C8A}"/>
    <cellStyle name="Įprastas 5 2 4 3 2 5 4" xfId="4094" xr:uid="{D0FA25BF-580E-4400-BD15-B6BC9008F871}"/>
    <cellStyle name="Įprastas 5 2 4 3 2 5_8 priedas" xfId="9090" xr:uid="{E537A174-D4BF-4962-B6F2-C43BC68239E8}"/>
    <cellStyle name="Įprastas 5 2 4 3 2 6" xfId="2365" xr:uid="{2AF0A1B9-7FF1-4738-9BBB-6D0AF593A94B}"/>
    <cellStyle name="Įprastas 5 2 4 3 2 6 2" xfId="4958" xr:uid="{33AB5359-6D3B-4BC1-9E4C-55D6F3A2FC5F}"/>
    <cellStyle name="Įprastas 5 2 4 3 2 6_8 priedas" xfId="9091" xr:uid="{B8E5CEDF-29AA-4F88-BA75-91FFE43928EA}"/>
    <cellStyle name="Įprastas 5 2 4 3 2 7" xfId="6686" xr:uid="{36843CC6-AF34-4655-B34F-D539DCEEAAD9}"/>
    <cellStyle name="Įprastas 5 2 4 3 2 8" xfId="3230" xr:uid="{4425E0BC-59BC-4324-883C-3BEDCB21FC73}"/>
    <cellStyle name="Įprastas 5 2 4 3 2_8 priedas" xfId="969" xr:uid="{00000000-0005-0000-0000-000008020000}"/>
    <cellStyle name="Įprastas 5 2 4 3 3" xfId="202" xr:uid="{00000000-0005-0000-0000-000009020000}"/>
    <cellStyle name="Įprastas 5 2 4 3 3 2" xfId="203" xr:uid="{00000000-0005-0000-0000-00000A020000}"/>
    <cellStyle name="Įprastas 5 2 4 3 3 2 2" xfId="746" xr:uid="{00000000-0005-0000-0000-00000B020000}"/>
    <cellStyle name="Įprastas 5 2 4 3 3 2 2 2" xfId="1667" xr:uid="{79BF6738-C22C-40DE-950A-6CA6F424C997}"/>
    <cellStyle name="Įprastas 5 2 4 3 3 2 2 2 2" xfId="6351" xr:uid="{5324D434-E4E1-4AA2-9356-9E6289D7EAA9}"/>
    <cellStyle name="Įprastas 5 2 4 3 3 2 2 2 3" xfId="8079" xr:uid="{F4B7A384-32A9-4B6A-900A-DC75C36A8FF3}"/>
    <cellStyle name="Įprastas 5 2 4 3 3 2 2 2 4" xfId="4623" xr:uid="{957FA9A9-1789-44CF-83BB-5C4C33F19407}"/>
    <cellStyle name="Įprastas 5 2 4 3 3 2 2 2_8 priedas" xfId="9093" xr:uid="{86C8428F-70D0-4C3C-BD73-9CD9CA478F07}"/>
    <cellStyle name="Įprastas 5 2 4 3 3 2 2 3" xfId="2894" xr:uid="{A7649E8D-C6BA-4572-9DF7-9C95205467EC}"/>
    <cellStyle name="Įprastas 5 2 4 3 3 2 2 3 2" xfId="5487" xr:uid="{4DF05471-7D2C-4EC3-A676-CC840AFAE4D9}"/>
    <cellStyle name="Įprastas 5 2 4 3 3 2 2 3_8 priedas" xfId="9094" xr:uid="{EAE423D3-F19B-4625-8A3C-280AF7403743}"/>
    <cellStyle name="Įprastas 5 2 4 3 3 2 2 4" xfId="7215" xr:uid="{E9BCCD83-10B5-45F7-B7B0-5A68D70EFC82}"/>
    <cellStyle name="Įprastas 5 2 4 3 3 2 2 5" xfId="3759" xr:uid="{F3654F1B-5133-4524-8FC6-CED1A49CF2CF}"/>
    <cellStyle name="Įprastas 5 2 4 3 3 2 2_8 priedas" xfId="9092" xr:uid="{B7DA8764-691F-40E6-8CAA-B243487B8A97}"/>
    <cellStyle name="Įprastas 5 2 4 3 3 2 3" xfId="1668" xr:uid="{C2D9B7F0-4D62-44E6-8AD5-BF8D6AB0F4B9}"/>
    <cellStyle name="Įprastas 5 2 4 3 3 2 3 2" xfId="5826" xr:uid="{4618BF81-8C64-4D7B-8435-30FD757E3FF0}"/>
    <cellStyle name="Įprastas 5 2 4 3 3 2 3 3" xfId="7554" xr:uid="{CD92B4D9-0596-4492-B1A4-C77A2520815F}"/>
    <cellStyle name="Įprastas 5 2 4 3 3 2 3 4" xfId="4098" xr:uid="{FD9B380D-3589-46B6-BED0-476A92E28FF7}"/>
    <cellStyle name="Įprastas 5 2 4 3 3 2 3_8 priedas" xfId="9095" xr:uid="{91B29FD0-DF73-499C-87E7-9BFE42F6412B}"/>
    <cellStyle name="Įprastas 5 2 4 3 3 2 4" xfId="2369" xr:uid="{FE174F0E-C22F-4896-BF4D-1206D003E15B}"/>
    <cellStyle name="Įprastas 5 2 4 3 3 2 4 2" xfId="4962" xr:uid="{DD8C9A57-E2BF-4A2A-916F-E2978C57BCEA}"/>
    <cellStyle name="Įprastas 5 2 4 3 3 2 4_8 priedas" xfId="9096" xr:uid="{3F1CFFB1-5AAA-4821-B37E-06A63DE30911}"/>
    <cellStyle name="Įprastas 5 2 4 3 3 2 5" xfId="6690" xr:uid="{68D50DDF-2DEC-47D7-BC2A-DE678EDA57C2}"/>
    <cellStyle name="Įprastas 5 2 4 3 3 2 6" xfId="3234" xr:uid="{41DD0629-0F30-494D-8BFD-23890F7B8CDC}"/>
    <cellStyle name="Įprastas 5 2 4 3 3 2_8 priedas" xfId="1171" xr:uid="{00000000-0005-0000-0000-00000C020000}"/>
    <cellStyle name="Įprastas 5 2 4 3 3 3" xfId="204" xr:uid="{00000000-0005-0000-0000-00000D020000}"/>
    <cellStyle name="Įprastas 5 2 4 3 3 3 2" xfId="890" xr:uid="{00000000-0005-0000-0000-00000E020000}"/>
    <cellStyle name="Įprastas 5 2 4 3 3 3 2 2" xfId="1669" xr:uid="{E23365DE-F0DC-4531-B183-476944204095}"/>
    <cellStyle name="Įprastas 5 2 4 3 3 3 2 2 2" xfId="6495" xr:uid="{9B898966-95AD-46FB-8956-3D5C29185EA1}"/>
    <cellStyle name="Įprastas 5 2 4 3 3 3 2 2 3" xfId="8223" xr:uid="{16AB99B6-8506-4F86-A1D5-5EB8AB7ECE05}"/>
    <cellStyle name="Įprastas 5 2 4 3 3 3 2 2 4" xfId="4767" xr:uid="{4680CBE1-93B0-44E7-9025-2A42C07F0054}"/>
    <cellStyle name="Įprastas 5 2 4 3 3 3 2 2_8 priedas" xfId="9098" xr:uid="{360EBDC3-39A7-407A-B978-8A923A89E5FB}"/>
    <cellStyle name="Įprastas 5 2 4 3 3 3 2 3" xfId="3038" xr:uid="{B3486F50-ADFA-4B27-88B2-6C751F7E52E6}"/>
    <cellStyle name="Įprastas 5 2 4 3 3 3 2 3 2" xfId="5631" xr:uid="{68D02DD6-64D3-44E8-BE05-C781A8F1AF97}"/>
    <cellStyle name="Įprastas 5 2 4 3 3 3 2 3_8 priedas" xfId="9099" xr:uid="{FFB70AA5-CCA6-4E6E-97A2-55041A74B1C6}"/>
    <cellStyle name="Įprastas 5 2 4 3 3 3 2 4" xfId="7359" xr:uid="{6C63D40F-8284-48B7-9148-AB113B17AB4F}"/>
    <cellStyle name="Įprastas 5 2 4 3 3 3 2 5" xfId="3903" xr:uid="{BDB353E1-D62E-4E9B-A2A7-71F9E35B64E1}"/>
    <cellStyle name="Įprastas 5 2 4 3 3 3 2_8 priedas" xfId="9097" xr:uid="{0DF1F44E-4229-4FA1-8115-0F089DB17861}"/>
    <cellStyle name="Įprastas 5 2 4 3 3 3 3" xfId="1670" xr:uid="{25357BE7-0106-41EB-89E9-564B040957D1}"/>
    <cellStyle name="Įprastas 5 2 4 3 3 3 3 2" xfId="5827" xr:uid="{2E685267-149E-4EA2-971F-2CDDE60D6B63}"/>
    <cellStyle name="Įprastas 5 2 4 3 3 3 3 3" xfId="7555" xr:uid="{7F3190F5-63B4-48CC-B665-96E37164FA5E}"/>
    <cellStyle name="Įprastas 5 2 4 3 3 3 3 4" xfId="4099" xr:uid="{5540C7B5-AD11-4056-B352-2258B33B9B9D}"/>
    <cellStyle name="Įprastas 5 2 4 3 3 3 3_8 priedas" xfId="9100" xr:uid="{37850375-A26C-4796-BE83-1830A6018BBC}"/>
    <cellStyle name="Įprastas 5 2 4 3 3 3 4" xfId="2370" xr:uid="{1485DFFD-A18C-47C2-A7DB-2BB37E8F13C2}"/>
    <cellStyle name="Įprastas 5 2 4 3 3 3 4 2" xfId="4963" xr:uid="{17658ABB-5B16-4ECD-B99C-164CE29C2B9E}"/>
    <cellStyle name="Įprastas 5 2 4 3 3 3 4_8 priedas" xfId="9101" xr:uid="{A7A4B19F-FEB1-491A-B113-B58C5F1CC282}"/>
    <cellStyle name="Įprastas 5 2 4 3 3 3 5" xfId="6691" xr:uid="{482E5D8D-1379-480F-9AC5-FBCC631C8B15}"/>
    <cellStyle name="Įprastas 5 2 4 3 3 3 6" xfId="3235" xr:uid="{BD18B0AE-F7D9-4103-9298-882AA2D3A025}"/>
    <cellStyle name="Įprastas 5 2 4 3 3 3_8 priedas" xfId="1035" xr:uid="{00000000-0005-0000-0000-00000F020000}"/>
    <cellStyle name="Įprastas 5 2 4 3 3 4" xfId="602" xr:uid="{00000000-0005-0000-0000-000010020000}"/>
    <cellStyle name="Įprastas 5 2 4 3 3 4 2" xfId="1671" xr:uid="{6754D5CB-2CA1-45F0-BEE3-B5B192B982DC}"/>
    <cellStyle name="Įprastas 5 2 4 3 3 4 2 2" xfId="6207" xr:uid="{DC48BAFC-90D8-4D1E-8C18-B1712F01885F}"/>
    <cellStyle name="Įprastas 5 2 4 3 3 4 2 3" xfId="7935" xr:uid="{CFE2DD5D-AB5C-425F-B8CA-1CA47CE37CC6}"/>
    <cellStyle name="Įprastas 5 2 4 3 3 4 2 4" xfId="4479" xr:uid="{D85AD2B1-6D2C-4629-93B7-32F7F7027B73}"/>
    <cellStyle name="Įprastas 5 2 4 3 3 4 2_8 priedas" xfId="9103" xr:uid="{7649B958-AB63-4D58-BCF2-C272990BE990}"/>
    <cellStyle name="Įprastas 5 2 4 3 3 4 3" xfId="2750" xr:uid="{C4A14273-D9ED-4710-9805-0C5F3D133B18}"/>
    <cellStyle name="Įprastas 5 2 4 3 3 4 3 2" xfId="5343" xr:uid="{BD4979E9-D9E1-4412-8B73-A8C204C20A51}"/>
    <cellStyle name="Įprastas 5 2 4 3 3 4 3_8 priedas" xfId="9104" xr:uid="{58AE6A20-9EC8-4E37-88B3-51045588ACFB}"/>
    <cellStyle name="Įprastas 5 2 4 3 3 4 4" xfId="7071" xr:uid="{0CFF3379-8C3A-46AD-9147-A17D5145E9B5}"/>
    <cellStyle name="Įprastas 5 2 4 3 3 4 5" xfId="3615" xr:uid="{D2B4989F-94C8-4F0A-887A-B1DFB2D4F5E4}"/>
    <cellStyle name="Įprastas 5 2 4 3 3 4_8 priedas" xfId="9102" xr:uid="{AA95CCFA-9939-4D03-B2CA-740BFE86189A}"/>
    <cellStyle name="Įprastas 5 2 4 3 3 5" xfId="1672" xr:uid="{EE4BF077-A608-48D9-A163-18410CF31907}"/>
    <cellStyle name="Įprastas 5 2 4 3 3 5 2" xfId="5825" xr:uid="{722ECCE3-F659-481E-A092-C6FEAF2F4B78}"/>
    <cellStyle name="Įprastas 5 2 4 3 3 5 3" xfId="7553" xr:uid="{5915D42B-9AFA-4454-9C36-E545F567B4FC}"/>
    <cellStyle name="Įprastas 5 2 4 3 3 5 4" xfId="4097" xr:uid="{260C6515-3DCE-4AD5-8EF4-52BFDFD30128}"/>
    <cellStyle name="Įprastas 5 2 4 3 3 5_8 priedas" xfId="9105" xr:uid="{1D8D4A6B-0BA0-47B7-8DBD-10CA3EE79079}"/>
    <cellStyle name="Įprastas 5 2 4 3 3 6" xfId="2368" xr:uid="{A003AE69-7FC3-4D16-9C57-9F165AB217AC}"/>
    <cellStyle name="Įprastas 5 2 4 3 3 6 2" xfId="4961" xr:uid="{3A0C96C9-872D-4786-AC16-D3214F319F48}"/>
    <cellStyle name="Įprastas 5 2 4 3 3 6_8 priedas" xfId="9106" xr:uid="{C4E922A3-2B99-4840-B06D-2E602639F0C8}"/>
    <cellStyle name="Įprastas 5 2 4 3 3 7" xfId="6689" xr:uid="{90740E15-03B5-4221-B444-1BFC307BAB36}"/>
    <cellStyle name="Įprastas 5 2 4 3 3 8" xfId="3233" xr:uid="{B82F47EA-8719-42DD-B48E-8EA92F113F85}"/>
    <cellStyle name="Įprastas 5 2 4 3 3_8 priedas" xfId="1308" xr:uid="{00000000-0005-0000-0000-000011020000}"/>
    <cellStyle name="Įprastas 5 2 4 3 4" xfId="205" xr:uid="{00000000-0005-0000-0000-000012020000}"/>
    <cellStyle name="Įprastas 5 2 4 3 4 2" xfId="650" xr:uid="{00000000-0005-0000-0000-000013020000}"/>
    <cellStyle name="Įprastas 5 2 4 3 4 2 2" xfId="1673" xr:uid="{2924AE21-279C-4940-9AD1-BAEDF6EFD8DA}"/>
    <cellStyle name="Įprastas 5 2 4 3 4 2 2 2" xfId="6255" xr:uid="{6690A198-78E7-4B90-A182-2A4290DA0BD6}"/>
    <cellStyle name="Įprastas 5 2 4 3 4 2 2 3" xfId="7983" xr:uid="{AA180510-1D2E-49AB-8CD1-4DB5B320342B}"/>
    <cellStyle name="Įprastas 5 2 4 3 4 2 2 4" xfId="4527" xr:uid="{060A2572-865E-4C94-99EA-91D517AFC4A1}"/>
    <cellStyle name="Įprastas 5 2 4 3 4 2 2_8 priedas" xfId="9108" xr:uid="{6DCFAB97-DE57-433A-A51E-58ADFCF0214F}"/>
    <cellStyle name="Įprastas 5 2 4 3 4 2 3" xfId="2798" xr:uid="{B1FE4D7D-7F0D-40CE-953D-A54659A5F731}"/>
    <cellStyle name="Įprastas 5 2 4 3 4 2 3 2" xfId="5391" xr:uid="{3092D3ED-821F-44AB-82EF-4CA517A593B3}"/>
    <cellStyle name="Įprastas 5 2 4 3 4 2 3_8 priedas" xfId="9109" xr:uid="{9D793E5E-3216-4F21-BEA0-24AAD2D70FA2}"/>
    <cellStyle name="Įprastas 5 2 4 3 4 2 4" xfId="7119" xr:uid="{688DED96-1D0F-4EAB-8FA9-B9A01951DEC5}"/>
    <cellStyle name="Įprastas 5 2 4 3 4 2 5" xfId="3663" xr:uid="{43F4CE94-D9A3-4FC4-B816-004E237B0F14}"/>
    <cellStyle name="Įprastas 5 2 4 3 4 2_8 priedas" xfId="9107" xr:uid="{2590A352-BF1D-4A47-B85D-C9B35563F8A2}"/>
    <cellStyle name="Įprastas 5 2 4 3 4 3" xfId="1674" xr:uid="{45BB54CE-3F9B-4628-9291-278D600971E3}"/>
    <cellStyle name="Įprastas 5 2 4 3 4 3 2" xfId="5828" xr:uid="{0D6D22FC-3842-44F3-BF31-92F42F3A2341}"/>
    <cellStyle name="Įprastas 5 2 4 3 4 3 3" xfId="7556" xr:uid="{38184888-FD68-4A1C-A8A8-DFDACF924250}"/>
    <cellStyle name="Įprastas 5 2 4 3 4 3 4" xfId="4100" xr:uid="{5C691C13-A36D-4974-A92C-3E68D40215B6}"/>
    <cellStyle name="Įprastas 5 2 4 3 4 3_8 priedas" xfId="9110" xr:uid="{23702D17-68F2-402F-BB02-4B85CCD03714}"/>
    <cellStyle name="Įprastas 5 2 4 3 4 4" xfId="2371" xr:uid="{48A7DBCF-6741-4383-AFBF-927AE250BE91}"/>
    <cellStyle name="Įprastas 5 2 4 3 4 4 2" xfId="4964" xr:uid="{99C64D30-7199-4138-ACCE-52407B3079CD}"/>
    <cellStyle name="Įprastas 5 2 4 3 4 4_8 priedas" xfId="9111" xr:uid="{5C7BABDD-3498-4545-93FF-9752023E9DEA}"/>
    <cellStyle name="Įprastas 5 2 4 3 4 5" xfId="6692" xr:uid="{38359D92-FE79-425D-BD4E-F754A566CBD0}"/>
    <cellStyle name="Įprastas 5 2 4 3 4 6" xfId="3236" xr:uid="{93176905-FA70-4B97-B7D8-6CFB18853C35}"/>
    <cellStyle name="Įprastas 5 2 4 3 4_8 priedas" xfId="1259" xr:uid="{00000000-0005-0000-0000-000014020000}"/>
    <cellStyle name="Įprastas 5 2 4 3 5" xfId="206" xr:uid="{00000000-0005-0000-0000-000015020000}"/>
    <cellStyle name="Įprastas 5 2 4 3 5 2" xfId="794" xr:uid="{00000000-0005-0000-0000-000016020000}"/>
    <cellStyle name="Įprastas 5 2 4 3 5 2 2" xfId="1675" xr:uid="{419E3381-1ABB-49AE-B14F-1E82396F1456}"/>
    <cellStyle name="Įprastas 5 2 4 3 5 2 2 2" xfId="6399" xr:uid="{B63F5F38-DBA8-46C4-919A-EA234FA2C6BA}"/>
    <cellStyle name="Įprastas 5 2 4 3 5 2 2 3" xfId="8127" xr:uid="{5D006218-11C4-48D8-89EA-E1F04A8D0A9C}"/>
    <cellStyle name="Įprastas 5 2 4 3 5 2 2 4" xfId="4671" xr:uid="{F58997CF-762A-4910-8851-39EE3D6680F6}"/>
    <cellStyle name="Įprastas 5 2 4 3 5 2 2_8 priedas" xfId="9113" xr:uid="{BF45797B-2337-4977-9538-415698FCDD1E}"/>
    <cellStyle name="Įprastas 5 2 4 3 5 2 3" xfId="2942" xr:uid="{240D90E2-EC42-4663-A9F4-317093C81DC8}"/>
    <cellStyle name="Įprastas 5 2 4 3 5 2 3 2" xfId="5535" xr:uid="{A4228F59-7233-46F4-9E02-DBA14AB40A15}"/>
    <cellStyle name="Įprastas 5 2 4 3 5 2 3_8 priedas" xfId="9114" xr:uid="{151F380C-59F2-46BD-9E3C-6461A27AA452}"/>
    <cellStyle name="Įprastas 5 2 4 3 5 2 4" xfId="7263" xr:uid="{691E4C24-8418-415A-9B40-89D202303F88}"/>
    <cellStyle name="Įprastas 5 2 4 3 5 2 5" xfId="3807" xr:uid="{A0CC8A4D-C499-44D1-A642-B978DCEEAE37}"/>
    <cellStyle name="Įprastas 5 2 4 3 5 2_8 priedas" xfId="9112" xr:uid="{3C0E78F7-80A5-488F-BD1D-4895F18473A9}"/>
    <cellStyle name="Įprastas 5 2 4 3 5 3" xfId="1676" xr:uid="{39C32D54-1843-4D93-9A3D-8D9C395E9BC0}"/>
    <cellStyle name="Įprastas 5 2 4 3 5 3 2" xfId="5829" xr:uid="{F632703B-32AD-4C54-AFD6-5AA9622DEABD}"/>
    <cellStyle name="Įprastas 5 2 4 3 5 3 3" xfId="7557" xr:uid="{85545141-0E0C-4CC1-9A44-8D2C602A2BD4}"/>
    <cellStyle name="Įprastas 5 2 4 3 5 3 4" xfId="4101" xr:uid="{B87ED548-9053-44B6-A8D0-8A304BA03114}"/>
    <cellStyle name="Įprastas 5 2 4 3 5 3_8 priedas" xfId="9115" xr:uid="{D1FFAC08-2A63-4741-B312-CBF719CC28C1}"/>
    <cellStyle name="Įprastas 5 2 4 3 5 4" xfId="2372" xr:uid="{FC1F8DD9-3373-4A8B-9F13-CFD2C545548F}"/>
    <cellStyle name="Įprastas 5 2 4 3 5 4 2" xfId="4965" xr:uid="{455FFD11-6F55-4DC7-A441-1135589F1F31}"/>
    <cellStyle name="Įprastas 5 2 4 3 5 4_8 priedas" xfId="9116" xr:uid="{76F2DB47-CABD-4902-AB5A-33A9DDCD1E9F}"/>
    <cellStyle name="Įprastas 5 2 4 3 5 5" xfId="6693" xr:uid="{95DC1C54-D5E6-47BF-816F-147AC46B16A3}"/>
    <cellStyle name="Įprastas 5 2 4 3 5 6" xfId="3237" xr:uid="{AC26B8DF-B788-4A3E-9D62-926DB676D81F}"/>
    <cellStyle name="Įprastas 5 2 4 3 5_8 priedas" xfId="1123" xr:uid="{00000000-0005-0000-0000-000017020000}"/>
    <cellStyle name="Įprastas 5 2 4 3 6" xfId="506" xr:uid="{00000000-0005-0000-0000-000018020000}"/>
    <cellStyle name="Įprastas 5 2 4 3 6 2" xfId="1677" xr:uid="{5B7E825B-D089-44CD-B820-7DBF39F5E62D}"/>
    <cellStyle name="Įprastas 5 2 4 3 6 2 2" xfId="6111" xr:uid="{69C7E30C-4F76-4767-A618-535066CCE284}"/>
    <cellStyle name="Įprastas 5 2 4 3 6 2 3" xfId="7839" xr:uid="{55CE28DD-6014-44CA-8844-2DB06733B02B}"/>
    <cellStyle name="Įprastas 5 2 4 3 6 2 4" xfId="4383" xr:uid="{601749F1-802E-4B5A-B2B0-6BD58E156E04}"/>
    <cellStyle name="Įprastas 5 2 4 3 6 2_8 priedas" xfId="9118" xr:uid="{A4493CFB-944C-4A13-81AF-C3B932D18856}"/>
    <cellStyle name="Įprastas 5 2 4 3 6 3" xfId="2654" xr:uid="{64FCB770-F83A-4004-9856-77C549D48B79}"/>
    <cellStyle name="Įprastas 5 2 4 3 6 3 2" xfId="5247" xr:uid="{E1DA26EF-5BEF-404E-9694-1170C592481E}"/>
    <cellStyle name="Įprastas 5 2 4 3 6 3_8 priedas" xfId="9119" xr:uid="{9C98C678-DF94-4377-A0D9-A995672C9408}"/>
    <cellStyle name="Įprastas 5 2 4 3 6 4" xfId="6975" xr:uid="{F3872767-EBEC-45C9-B7EC-56004D3931DD}"/>
    <cellStyle name="Įprastas 5 2 4 3 6 5" xfId="3519" xr:uid="{7C2550D3-1008-499B-BF01-949DDC5F1768}"/>
    <cellStyle name="Įprastas 5 2 4 3 6_8 priedas" xfId="9117" xr:uid="{4A53B3E7-1049-4AC6-8371-DB6FD4355692}"/>
    <cellStyle name="Įprastas 5 2 4 3 7" xfId="1678" xr:uid="{A85F9519-7B54-4C58-A910-BDB3024E180D}"/>
    <cellStyle name="Įprastas 5 2 4 3 7 2" xfId="5821" xr:uid="{A0E302AC-19D6-4A3A-816C-676497FF5B0C}"/>
    <cellStyle name="Įprastas 5 2 4 3 7 3" xfId="7549" xr:uid="{7B1773C2-1DEB-484C-883A-ABDB802D32E8}"/>
    <cellStyle name="Įprastas 5 2 4 3 7 4" xfId="4093" xr:uid="{FC72964F-17EB-451B-B716-F3ABBCA8C853}"/>
    <cellStyle name="Įprastas 5 2 4 3 7_8 priedas" xfId="9120" xr:uid="{CEB254AA-D988-4ED2-8738-BFB64153F6FD}"/>
    <cellStyle name="Įprastas 5 2 4 3 8" xfId="2364" xr:uid="{8146959F-EF19-4B05-9565-2AAEF1C22F73}"/>
    <cellStyle name="Įprastas 5 2 4 3 8 2" xfId="4957" xr:uid="{C1D21F79-8306-4AFF-BA55-6E0DA02297A6}"/>
    <cellStyle name="Įprastas 5 2 4 3 8_8 priedas" xfId="9121" xr:uid="{C1833527-A5E1-43A3-B7BB-9FFE40B666FD}"/>
    <cellStyle name="Įprastas 5 2 4 3 9" xfId="6685" xr:uid="{425B4F53-4E03-48BA-881C-660737D2F606}"/>
    <cellStyle name="Įprastas 5 2 4 3_8 priedas" xfId="1106" xr:uid="{00000000-0005-0000-0000-000019020000}"/>
    <cellStyle name="Įprastas 5 2 4 4" xfId="207" xr:uid="{00000000-0005-0000-0000-00001A020000}"/>
    <cellStyle name="Įprastas 5 2 4 4 2" xfId="208" xr:uid="{00000000-0005-0000-0000-00001B020000}"/>
    <cellStyle name="Įprastas 5 2 4 4 2 2" xfId="674" xr:uid="{00000000-0005-0000-0000-00001C020000}"/>
    <cellStyle name="Įprastas 5 2 4 4 2 2 2" xfId="1679" xr:uid="{B68F66AD-FE12-41F2-B522-150934EE411A}"/>
    <cellStyle name="Įprastas 5 2 4 4 2 2 2 2" xfId="6279" xr:uid="{F5AC471E-376D-4F06-B056-3DDB23CD23DA}"/>
    <cellStyle name="Įprastas 5 2 4 4 2 2 2 3" xfId="8007" xr:uid="{FC520D4D-2562-4C73-B4CD-8A3F86B11B9C}"/>
    <cellStyle name="Įprastas 5 2 4 4 2 2 2 4" xfId="4551" xr:uid="{D6F0C85D-8E6A-46AD-B570-C38213D9D8CF}"/>
    <cellStyle name="Įprastas 5 2 4 4 2 2 2_8 priedas" xfId="9123" xr:uid="{506E384C-2160-4182-A6FD-3503B7F98B3A}"/>
    <cellStyle name="Įprastas 5 2 4 4 2 2 3" xfId="2822" xr:uid="{FD7EEFB4-C5E1-4F41-A7EC-8B84F44A0A96}"/>
    <cellStyle name="Įprastas 5 2 4 4 2 2 3 2" xfId="5415" xr:uid="{4B06AA00-B9C5-4625-BD6B-6A780505EDCB}"/>
    <cellStyle name="Įprastas 5 2 4 4 2 2 3_8 priedas" xfId="9124" xr:uid="{347D0AAE-4039-4B0E-9880-626F02793010}"/>
    <cellStyle name="Įprastas 5 2 4 4 2 2 4" xfId="7143" xr:uid="{E63CBA3C-11C3-4EBB-A9D1-C1F25452B3AE}"/>
    <cellStyle name="Įprastas 5 2 4 4 2 2 5" xfId="3687" xr:uid="{285EA771-51BC-409F-9840-0F73BAD0A49B}"/>
    <cellStyle name="Įprastas 5 2 4 4 2 2_8 priedas" xfId="9122" xr:uid="{4C31ACFE-765B-4D60-BD34-26AA75A746BD}"/>
    <cellStyle name="Įprastas 5 2 4 4 2 3" xfId="1680" xr:uid="{B53794AE-17B8-433B-8AEC-5D122FAD812E}"/>
    <cellStyle name="Įprastas 5 2 4 4 2 3 2" xfId="5831" xr:uid="{11A5DDDB-4BCA-4736-8AFB-854F33A87A56}"/>
    <cellStyle name="Įprastas 5 2 4 4 2 3 3" xfId="7559" xr:uid="{61DED782-900F-49A8-84CC-77591E2DBC00}"/>
    <cellStyle name="Įprastas 5 2 4 4 2 3 4" xfId="4103" xr:uid="{EEE3F1B3-728E-4C70-A53B-2E3FF44B141D}"/>
    <cellStyle name="Įprastas 5 2 4 4 2 3_8 priedas" xfId="9125" xr:uid="{11858EA0-966B-4875-8F63-50AFAAFA520F}"/>
    <cellStyle name="Įprastas 5 2 4 4 2 4" xfId="2374" xr:uid="{B33B798E-3991-4FEF-85FE-93A29A57DA94}"/>
    <cellStyle name="Įprastas 5 2 4 4 2 4 2" xfId="4967" xr:uid="{E45271D8-2B27-47DF-9EB1-282D886AF2E4}"/>
    <cellStyle name="Įprastas 5 2 4 4 2 4_8 priedas" xfId="9126" xr:uid="{BFDA21DF-BA5F-40D4-9946-F031BAC19801}"/>
    <cellStyle name="Įprastas 5 2 4 4 2 5" xfId="6695" xr:uid="{FDBFB046-C425-4304-BA38-106FB2C05152}"/>
    <cellStyle name="Įprastas 5 2 4 4 2 6" xfId="3239" xr:uid="{66FBC843-6415-4011-9D4F-ED1D029047FA}"/>
    <cellStyle name="Įprastas 5 2 4 4 2_8 priedas" xfId="946" xr:uid="{00000000-0005-0000-0000-00001D020000}"/>
    <cellStyle name="Įprastas 5 2 4 4 3" xfId="209" xr:uid="{00000000-0005-0000-0000-00001E020000}"/>
    <cellStyle name="Įprastas 5 2 4 4 3 2" xfId="818" xr:uid="{00000000-0005-0000-0000-00001F020000}"/>
    <cellStyle name="Įprastas 5 2 4 4 3 2 2" xfId="1681" xr:uid="{CCF49939-87A6-4175-ACBD-1E938673BAB6}"/>
    <cellStyle name="Įprastas 5 2 4 4 3 2 2 2" xfId="6423" xr:uid="{70AC800C-7C4A-401F-8BC8-06D1C05DD43B}"/>
    <cellStyle name="Įprastas 5 2 4 4 3 2 2 3" xfId="8151" xr:uid="{2E87C5E9-060F-4B58-93B7-E46B6C64B7F8}"/>
    <cellStyle name="Įprastas 5 2 4 4 3 2 2 4" xfId="4695" xr:uid="{FD995C4C-2F6D-42E7-9D45-CAF4A7CF59D3}"/>
    <cellStyle name="Įprastas 5 2 4 4 3 2 2_8 priedas" xfId="9128" xr:uid="{6FCA7B32-0998-4EF3-BB0B-C567C135B88A}"/>
    <cellStyle name="Įprastas 5 2 4 4 3 2 3" xfId="2966" xr:uid="{DA6A74F7-E19B-49CD-9232-D19CEBE0BD6B}"/>
    <cellStyle name="Įprastas 5 2 4 4 3 2 3 2" xfId="5559" xr:uid="{6D7EAC50-F3DB-4F42-B254-32FD16AEE6F9}"/>
    <cellStyle name="Įprastas 5 2 4 4 3 2 3_8 priedas" xfId="9129" xr:uid="{2762C79B-2FFF-4818-B3AA-00378835CB18}"/>
    <cellStyle name="Įprastas 5 2 4 4 3 2 4" xfId="7287" xr:uid="{4D230C18-A13F-4DB6-883E-81BE0FB53AD9}"/>
    <cellStyle name="Įprastas 5 2 4 4 3 2 5" xfId="3831" xr:uid="{0EB1A2E1-B56C-42F4-BE0D-492DC58E768D}"/>
    <cellStyle name="Įprastas 5 2 4 4 3 2_8 priedas" xfId="9127" xr:uid="{D3C889E8-C0A0-42E1-8AE6-205D1C765FE1}"/>
    <cellStyle name="Įprastas 5 2 4 4 3 3" xfId="1682" xr:uid="{D536FAB4-CE4A-4943-82CD-9DED0493F24B}"/>
    <cellStyle name="Įprastas 5 2 4 4 3 3 2" xfId="5832" xr:uid="{5B104F0F-9E89-431F-9752-F445FB1E92CB}"/>
    <cellStyle name="Įprastas 5 2 4 4 3 3 3" xfId="7560" xr:uid="{CA5A8F54-5021-4A99-87C7-9CD2ABA8FEBE}"/>
    <cellStyle name="Įprastas 5 2 4 4 3 3 4" xfId="4104" xr:uid="{58A61621-6389-4FF4-98F5-1BE9464C0AE5}"/>
    <cellStyle name="Įprastas 5 2 4 4 3 3_8 priedas" xfId="9130" xr:uid="{72F07654-ECF5-427B-9A6E-A4FC21E58B6E}"/>
    <cellStyle name="Įprastas 5 2 4 4 3 4" xfId="2375" xr:uid="{B0467960-B27C-43C9-B405-3813F8775F12}"/>
    <cellStyle name="Įprastas 5 2 4 4 3 4 2" xfId="4968" xr:uid="{AB864C9F-271C-4217-96E8-A8BA2F953DB9}"/>
    <cellStyle name="Įprastas 5 2 4 4 3 4_8 priedas" xfId="9131" xr:uid="{7C14864E-6EA9-4CC7-9A80-FFEC7639BA2C}"/>
    <cellStyle name="Įprastas 5 2 4 4 3 5" xfId="6696" xr:uid="{F3A46AEE-9D6A-44A7-9341-A8BB47213B26}"/>
    <cellStyle name="Įprastas 5 2 4 4 3 6" xfId="3240" xr:uid="{36688862-C1C8-463C-B8AD-9FF9C3E812F4}"/>
    <cellStyle name="Įprastas 5 2 4 4 3_8 priedas" xfId="1205" xr:uid="{00000000-0005-0000-0000-000020020000}"/>
    <cellStyle name="Įprastas 5 2 4 4 4" xfId="530" xr:uid="{00000000-0005-0000-0000-000021020000}"/>
    <cellStyle name="Įprastas 5 2 4 4 4 2" xfId="1683" xr:uid="{D1B85E91-C512-4C1B-A060-8D1A35FFA9E4}"/>
    <cellStyle name="Įprastas 5 2 4 4 4 2 2" xfId="6135" xr:uid="{F5A6E108-17FA-40A3-8F1A-5D8CC1DC75C4}"/>
    <cellStyle name="Įprastas 5 2 4 4 4 2 3" xfId="7863" xr:uid="{A63E3312-5137-46D5-8516-97D4C1EED04A}"/>
    <cellStyle name="Įprastas 5 2 4 4 4 2 4" xfId="4407" xr:uid="{86222F2D-43F0-4EEF-984F-D3F406BF558A}"/>
    <cellStyle name="Įprastas 5 2 4 4 4 2_8 priedas" xfId="9133" xr:uid="{64CF12FD-F48A-4CB0-98EF-316A94D0AF3E}"/>
    <cellStyle name="Įprastas 5 2 4 4 4 3" xfId="2678" xr:uid="{07CDBDFD-C82B-4C03-9821-8417AA367920}"/>
    <cellStyle name="Įprastas 5 2 4 4 4 3 2" xfId="5271" xr:uid="{F853C5F3-A36D-490F-AEC8-D89F3FD42995}"/>
    <cellStyle name="Įprastas 5 2 4 4 4 3_8 priedas" xfId="9134" xr:uid="{BB8D7D02-4D74-4275-9783-17C47E28DCCE}"/>
    <cellStyle name="Įprastas 5 2 4 4 4 4" xfId="6999" xr:uid="{0E68CD0B-6B31-4E4E-84F3-5D992DA4D17D}"/>
    <cellStyle name="Įprastas 5 2 4 4 4 5" xfId="3543" xr:uid="{82E593DE-84D8-4E79-8CA7-B420686FC9F9}"/>
    <cellStyle name="Įprastas 5 2 4 4 4_8 priedas" xfId="9132" xr:uid="{2BB1CBB6-1439-4B64-A1CF-38DF471201B8}"/>
    <cellStyle name="Įprastas 5 2 4 4 5" xfId="1684" xr:uid="{D6C75732-2BF6-415E-947E-748BD58E5B08}"/>
    <cellStyle name="Įprastas 5 2 4 4 5 2" xfId="5830" xr:uid="{27011FD2-A007-48D1-817D-19EB4E1158F3}"/>
    <cellStyle name="Įprastas 5 2 4 4 5 3" xfId="7558" xr:uid="{03768419-8437-4C50-B4AF-5B5349C70A89}"/>
    <cellStyle name="Įprastas 5 2 4 4 5 4" xfId="4102" xr:uid="{D8EC989B-FB30-44F2-AF5B-06F562397244}"/>
    <cellStyle name="Įprastas 5 2 4 4 5_8 priedas" xfId="9135" xr:uid="{638DFAB2-430F-4786-8E3A-5C1EAC2CD540}"/>
    <cellStyle name="Įprastas 5 2 4 4 6" xfId="2373" xr:uid="{723FEF6E-D494-42CB-A7AA-4AF378D6B0CF}"/>
    <cellStyle name="Įprastas 5 2 4 4 6 2" xfId="4966" xr:uid="{5CB43FEE-FFEC-4483-9E7E-91127CB1B6A3}"/>
    <cellStyle name="Įprastas 5 2 4 4 6_8 priedas" xfId="9136" xr:uid="{C95A8388-42DA-488E-98F6-41B9B4387DEF}"/>
    <cellStyle name="Įprastas 5 2 4 4 7" xfId="6694" xr:uid="{C274CAD7-50E7-480A-B718-BB1D98060AA8}"/>
    <cellStyle name="Įprastas 5 2 4 4 8" xfId="3238" xr:uid="{86FF91E7-AD88-4534-992A-C5A2A47F69C2}"/>
    <cellStyle name="Įprastas 5 2 4 4_8 priedas" xfId="987" xr:uid="{00000000-0005-0000-0000-000022020000}"/>
    <cellStyle name="Įprastas 5 2 4 5" xfId="210" xr:uid="{00000000-0005-0000-0000-000023020000}"/>
    <cellStyle name="Įprastas 5 2 4 5 2" xfId="211" xr:uid="{00000000-0005-0000-0000-000024020000}"/>
    <cellStyle name="Įprastas 5 2 4 5 2 2" xfId="722" xr:uid="{00000000-0005-0000-0000-000025020000}"/>
    <cellStyle name="Įprastas 5 2 4 5 2 2 2" xfId="1685" xr:uid="{4DC615B8-995F-43A3-B83D-B57DBDF423B4}"/>
    <cellStyle name="Įprastas 5 2 4 5 2 2 2 2" xfId="6327" xr:uid="{B0D1C6A9-043D-45BA-AB50-0A3EFF06CDFF}"/>
    <cellStyle name="Įprastas 5 2 4 5 2 2 2 3" xfId="8055" xr:uid="{965B33C1-9214-40CB-8ED8-2C7B7DFCEAF9}"/>
    <cellStyle name="Įprastas 5 2 4 5 2 2 2 4" xfId="4599" xr:uid="{AEB6A232-A3E9-466D-8817-72CE8383F875}"/>
    <cellStyle name="Įprastas 5 2 4 5 2 2 2_8 priedas" xfId="9138" xr:uid="{EFCE3135-F4CA-4816-99B3-E6A3F5A2A753}"/>
    <cellStyle name="Įprastas 5 2 4 5 2 2 3" xfId="2870" xr:uid="{A17CD0C0-38BB-451D-88D0-C0AE4396BC13}"/>
    <cellStyle name="Įprastas 5 2 4 5 2 2 3 2" xfId="5463" xr:uid="{D8E8A712-F9CE-4BC1-8CAF-AC76D7A7EA6F}"/>
    <cellStyle name="Įprastas 5 2 4 5 2 2 3_8 priedas" xfId="9139" xr:uid="{C116536C-1DF7-4BF1-BCD1-49D28F41DB4D}"/>
    <cellStyle name="Įprastas 5 2 4 5 2 2 4" xfId="7191" xr:uid="{3970EE8F-4A50-4FBC-9AE8-E3EA0E30A7F7}"/>
    <cellStyle name="Įprastas 5 2 4 5 2 2 5" xfId="3735" xr:uid="{3222410E-6BA5-4996-8F6D-C774C65441F4}"/>
    <cellStyle name="Įprastas 5 2 4 5 2 2_8 priedas" xfId="9137" xr:uid="{29EEF395-1519-4BCF-84F6-943E507EEC5D}"/>
    <cellStyle name="Įprastas 5 2 4 5 2 3" xfId="1686" xr:uid="{666329EE-C506-4391-A2A3-93B01B29FD72}"/>
    <cellStyle name="Įprastas 5 2 4 5 2 3 2" xfId="5834" xr:uid="{6AE6226E-2D39-4F3A-9E2E-2CB90658D84A}"/>
    <cellStyle name="Įprastas 5 2 4 5 2 3 3" xfId="7562" xr:uid="{098EBF41-8231-45E2-B3AE-9CA642D05F8C}"/>
    <cellStyle name="Įprastas 5 2 4 5 2 3 4" xfId="4106" xr:uid="{D0AC19BB-F756-4C52-B52D-5045489D62AB}"/>
    <cellStyle name="Įprastas 5 2 4 5 2 3_8 priedas" xfId="9140" xr:uid="{22C71653-500D-46AC-96F2-355A3C32A8D1}"/>
    <cellStyle name="Įprastas 5 2 4 5 2 4" xfId="2377" xr:uid="{CAEA13BE-112D-40DA-995E-EC33A58057F2}"/>
    <cellStyle name="Įprastas 5 2 4 5 2 4 2" xfId="4970" xr:uid="{3E32E012-E300-45A8-B315-8348F71AED20}"/>
    <cellStyle name="Įprastas 5 2 4 5 2 4_8 priedas" xfId="9141" xr:uid="{8EBC28FC-7100-47E8-8145-F248DBAEE760}"/>
    <cellStyle name="Įprastas 5 2 4 5 2 5" xfId="6698" xr:uid="{57F9E7E0-0104-4F67-8888-0ABF538945FF}"/>
    <cellStyle name="Įprastas 5 2 4 5 2 6" xfId="3242" xr:uid="{18837B56-0CD4-4552-9F15-EB1960F1F277}"/>
    <cellStyle name="Įprastas 5 2 4 5 2_8 priedas" xfId="1296" xr:uid="{00000000-0005-0000-0000-000026020000}"/>
    <cellStyle name="Įprastas 5 2 4 5 3" xfId="212" xr:uid="{00000000-0005-0000-0000-000027020000}"/>
    <cellStyle name="Įprastas 5 2 4 5 3 2" xfId="866" xr:uid="{00000000-0005-0000-0000-000028020000}"/>
    <cellStyle name="Įprastas 5 2 4 5 3 2 2" xfId="1687" xr:uid="{65FDBEED-C38F-4B2C-AB02-940DA75A2F26}"/>
    <cellStyle name="Įprastas 5 2 4 5 3 2 2 2" xfId="6471" xr:uid="{19D3268E-E436-4A34-9FC6-6C33E71A86E0}"/>
    <cellStyle name="Įprastas 5 2 4 5 3 2 2 3" xfId="8199" xr:uid="{8549E7BB-BE63-4362-A306-A2B659463678}"/>
    <cellStyle name="Įprastas 5 2 4 5 3 2 2 4" xfId="4743" xr:uid="{5A9FED14-9627-494D-845A-F0870FE72B77}"/>
    <cellStyle name="Įprastas 5 2 4 5 3 2 2_8 priedas" xfId="9143" xr:uid="{B1D61849-873E-4DE0-A0BC-0F55A6A65A2F}"/>
    <cellStyle name="Įprastas 5 2 4 5 3 2 3" xfId="3014" xr:uid="{47840810-DB63-40BB-90DF-781DE21BEC5C}"/>
    <cellStyle name="Įprastas 5 2 4 5 3 2 3 2" xfId="5607" xr:uid="{A95E2CDD-8C56-4AC3-B933-1E4C99198BDB}"/>
    <cellStyle name="Įprastas 5 2 4 5 3 2 3_8 priedas" xfId="9144" xr:uid="{DD8882B9-DBC2-409E-9DEA-D8AC0D42ED30}"/>
    <cellStyle name="Įprastas 5 2 4 5 3 2 4" xfId="7335" xr:uid="{1C92D3EA-EF1D-49E4-9235-57AD845349F0}"/>
    <cellStyle name="Įprastas 5 2 4 5 3 2 5" xfId="3879" xr:uid="{15D65FB5-AA36-4C47-B6E5-A8DF1938CAF4}"/>
    <cellStyle name="Įprastas 5 2 4 5 3 2_8 priedas" xfId="9142" xr:uid="{58DEA849-585E-402E-9819-E9478E9CB96D}"/>
    <cellStyle name="Įprastas 5 2 4 5 3 3" xfId="1688" xr:uid="{124FE407-DD39-488D-95DC-8D117AB5AFB9}"/>
    <cellStyle name="Įprastas 5 2 4 5 3 3 2" xfId="5835" xr:uid="{19FBC592-2445-4EEA-9A8B-8BC922184CD5}"/>
    <cellStyle name="Įprastas 5 2 4 5 3 3 3" xfId="7563" xr:uid="{8FD03943-7272-47BA-8436-01821E28AF07}"/>
    <cellStyle name="Įprastas 5 2 4 5 3 3 4" xfId="4107" xr:uid="{CDC564D2-7B88-474A-982B-5439A47AEA6A}"/>
    <cellStyle name="Įprastas 5 2 4 5 3 3_8 priedas" xfId="9145" xr:uid="{849253DF-F8F0-48D4-ABB5-B2EF9CDC5540}"/>
    <cellStyle name="Įprastas 5 2 4 5 3 4" xfId="2378" xr:uid="{63FE2B7B-6152-4DD7-8F9B-18CD5C289505}"/>
    <cellStyle name="Įprastas 5 2 4 5 3 4 2" xfId="4971" xr:uid="{95848254-BD6F-4E7E-85E6-B5F6229AC7B0}"/>
    <cellStyle name="Įprastas 5 2 4 5 3 4_8 priedas" xfId="9146" xr:uid="{9CFA3411-0EB1-4F5B-A99E-D0F7A144451C}"/>
    <cellStyle name="Įprastas 5 2 4 5 3 5" xfId="6699" xr:uid="{D88FE5CA-2D28-4A5F-9667-105084AFF92C}"/>
    <cellStyle name="Įprastas 5 2 4 5 3 6" xfId="3243" xr:uid="{B75E6A06-D581-435A-BB91-839ED56E2A3C}"/>
    <cellStyle name="Įprastas 5 2 4 5 3_8 priedas" xfId="1159" xr:uid="{00000000-0005-0000-0000-000029020000}"/>
    <cellStyle name="Įprastas 5 2 4 5 4" xfId="578" xr:uid="{00000000-0005-0000-0000-00002A020000}"/>
    <cellStyle name="Įprastas 5 2 4 5 4 2" xfId="1689" xr:uid="{A1B0F362-E0BE-48CB-89FA-B5F1ECF7D017}"/>
    <cellStyle name="Įprastas 5 2 4 5 4 2 2" xfId="6183" xr:uid="{529258C2-8866-46A1-98D8-36CA469CB2AC}"/>
    <cellStyle name="Įprastas 5 2 4 5 4 2 3" xfId="7911" xr:uid="{0A941FBB-9CC6-4032-BE0B-78F5802182D9}"/>
    <cellStyle name="Įprastas 5 2 4 5 4 2 4" xfId="4455" xr:uid="{91F38EE8-A4AA-47AF-B747-B443F483E88E}"/>
    <cellStyle name="Įprastas 5 2 4 5 4 2_8 priedas" xfId="9148" xr:uid="{83E7AE00-2D16-414D-AE0D-699EBFF093DC}"/>
    <cellStyle name="Įprastas 5 2 4 5 4 3" xfId="2726" xr:uid="{7F783C02-7635-44C9-B10E-F2C93DFBCAC8}"/>
    <cellStyle name="Įprastas 5 2 4 5 4 3 2" xfId="5319" xr:uid="{1251F400-CC10-4022-A92E-837161025069}"/>
    <cellStyle name="Įprastas 5 2 4 5 4 3_8 priedas" xfId="9149" xr:uid="{B280F40C-11ED-476C-BE8B-CA43EE0EC855}"/>
    <cellStyle name="Įprastas 5 2 4 5 4 4" xfId="7047" xr:uid="{405754F3-1E4E-4FBB-909C-8C73CC124182}"/>
    <cellStyle name="Įprastas 5 2 4 5 4 5" xfId="3591" xr:uid="{BF3932D4-9536-4D0A-AC8E-B4AFF40C43CA}"/>
    <cellStyle name="Įprastas 5 2 4 5 4_8 priedas" xfId="9147" xr:uid="{C3DFA25F-293B-4A84-B169-724E158F2580}"/>
    <cellStyle name="Įprastas 5 2 4 5 5" xfId="1690" xr:uid="{0601E382-452C-4983-BD50-EE2DC6E6C407}"/>
    <cellStyle name="Įprastas 5 2 4 5 5 2" xfId="5833" xr:uid="{BBE33BC4-D90E-4310-B264-E7DA410A5341}"/>
    <cellStyle name="Įprastas 5 2 4 5 5 3" xfId="7561" xr:uid="{899E18DC-B46B-4338-95A3-86F20A8DF5AB}"/>
    <cellStyle name="Įprastas 5 2 4 5 5 4" xfId="4105" xr:uid="{5B5D5C73-D3A9-45A7-BF25-A540381AB8AA}"/>
    <cellStyle name="Įprastas 5 2 4 5 5_8 priedas" xfId="9150" xr:uid="{E5C3E30C-EA9A-48B0-9C18-996DC2632E4A}"/>
    <cellStyle name="Įprastas 5 2 4 5 6" xfId="2376" xr:uid="{29097BFB-86B7-4B28-BAB5-D35A8AD432C5}"/>
    <cellStyle name="Įprastas 5 2 4 5 6 2" xfId="4969" xr:uid="{1B60ECD0-D197-4164-A53F-AB74A3EEDA4F}"/>
    <cellStyle name="Įprastas 5 2 4 5 6_8 priedas" xfId="9151" xr:uid="{EFE790D8-EDC5-4A52-9C64-476C3A7766B2}"/>
    <cellStyle name="Įprastas 5 2 4 5 7" xfId="6697" xr:uid="{D514A246-7F92-4294-A665-61B46A26ADCD}"/>
    <cellStyle name="Įprastas 5 2 4 5 8" xfId="3241" xr:uid="{293F8A44-45A6-414A-83D5-CD28C64945C4}"/>
    <cellStyle name="Įprastas 5 2 4 5_8 priedas" xfId="1071" xr:uid="{00000000-0005-0000-0000-00002B020000}"/>
    <cellStyle name="Įprastas 5 2 4 6" xfId="213" xr:uid="{00000000-0005-0000-0000-00002C020000}"/>
    <cellStyle name="Įprastas 5 2 4 6 2" xfId="626" xr:uid="{00000000-0005-0000-0000-00002D020000}"/>
    <cellStyle name="Įprastas 5 2 4 6 2 2" xfId="1691" xr:uid="{BCB61355-1B7C-447E-B0EB-8EB516AB4299}"/>
    <cellStyle name="Įprastas 5 2 4 6 2 2 2" xfId="6231" xr:uid="{C83BFD98-5378-4E58-98A6-746F1751D134}"/>
    <cellStyle name="Įprastas 5 2 4 6 2 2 3" xfId="7959" xr:uid="{56CC220E-0DA8-4BF1-9AF9-C9319A4B4286}"/>
    <cellStyle name="Įprastas 5 2 4 6 2 2 4" xfId="4503" xr:uid="{4EE3096C-CF7A-48B9-877C-7F285C24FD8D}"/>
    <cellStyle name="Įprastas 5 2 4 6 2 2_8 priedas" xfId="9153" xr:uid="{8678BD5E-E14A-4B3B-A6D2-7182EB2961DC}"/>
    <cellStyle name="Įprastas 5 2 4 6 2 3" xfId="2774" xr:uid="{18D8845D-1E0B-4765-A2D0-3F8E09A71DA5}"/>
    <cellStyle name="Įprastas 5 2 4 6 2 3 2" xfId="5367" xr:uid="{007A23CF-A2B0-434C-9BD5-D1E98691D374}"/>
    <cellStyle name="Įprastas 5 2 4 6 2 3_8 priedas" xfId="9154" xr:uid="{C72558E8-318D-4A17-856B-4137ABAF3C8B}"/>
    <cellStyle name="Įprastas 5 2 4 6 2 4" xfId="7095" xr:uid="{3414D681-82F0-4982-86DC-5CE76851A18E}"/>
    <cellStyle name="Įprastas 5 2 4 6 2 5" xfId="3639" xr:uid="{0FF439EA-CD38-4AE7-B68F-E99C4B1A77CF}"/>
    <cellStyle name="Įprastas 5 2 4 6 2_8 priedas" xfId="9152" xr:uid="{5CA241FF-C15F-40D2-8DAE-7944250CD23D}"/>
    <cellStyle name="Įprastas 5 2 4 6 3" xfId="1692" xr:uid="{958E0489-0E89-4ACB-B405-852713732DAF}"/>
    <cellStyle name="Įprastas 5 2 4 6 3 2" xfId="5836" xr:uid="{322D4CCD-E2A9-4AC1-9A82-BD67B72E3D57}"/>
    <cellStyle name="Įprastas 5 2 4 6 3 3" xfId="7564" xr:uid="{05AE5140-7B6B-431E-B2AB-CB9580AFAA4A}"/>
    <cellStyle name="Įprastas 5 2 4 6 3 4" xfId="4108" xr:uid="{35AC94DC-DF45-476A-BE53-1F7B68B5E14C}"/>
    <cellStyle name="Įprastas 5 2 4 6 3_8 priedas" xfId="9155" xr:uid="{1DFAD20E-6D56-4FF1-9C5C-D913E763A033}"/>
    <cellStyle name="Įprastas 5 2 4 6 4" xfId="2379" xr:uid="{5E92AE45-41A5-45AD-A745-81CB7AB65204}"/>
    <cellStyle name="Įprastas 5 2 4 6 4 2" xfId="4972" xr:uid="{97D62A6D-B8DB-4410-88F5-096A242D3E2F}"/>
    <cellStyle name="Įprastas 5 2 4 6 4_8 priedas" xfId="9156" xr:uid="{F0AE2667-BE35-41EF-9990-C0EA60C91F51}"/>
    <cellStyle name="Įprastas 5 2 4 6 5" xfId="6700" xr:uid="{2925D0D0-F259-4AAB-AD5A-CC3008AEF7B2}"/>
    <cellStyle name="Įprastas 5 2 4 6 6" xfId="3244" xr:uid="{B4045590-D1DB-4D4E-9AF8-094D497F490F}"/>
    <cellStyle name="Įprastas 5 2 4 6_8 priedas" xfId="1024" xr:uid="{00000000-0005-0000-0000-00002E020000}"/>
    <cellStyle name="Įprastas 5 2 4 7" xfId="214" xr:uid="{00000000-0005-0000-0000-00002F020000}"/>
    <cellStyle name="Įprastas 5 2 4 7 2" xfId="770" xr:uid="{00000000-0005-0000-0000-000030020000}"/>
    <cellStyle name="Įprastas 5 2 4 7 2 2" xfId="1693" xr:uid="{8352A0E7-71E3-4C4B-BE2C-122E3549545C}"/>
    <cellStyle name="Įprastas 5 2 4 7 2 2 2" xfId="6375" xr:uid="{2A9C68D4-A919-4B29-8A10-1D62F0229F70}"/>
    <cellStyle name="Įprastas 5 2 4 7 2 2 3" xfId="8103" xr:uid="{3E0A09E6-61DD-4E4D-AA3F-740F3439B932}"/>
    <cellStyle name="Įprastas 5 2 4 7 2 2 4" xfId="4647" xr:uid="{6DD76057-756A-4148-A905-832CEC938BB5}"/>
    <cellStyle name="Įprastas 5 2 4 7 2 2_8 priedas" xfId="9158" xr:uid="{91096F0D-0E16-4960-B4E1-E17B8622E053}"/>
    <cellStyle name="Įprastas 5 2 4 7 2 3" xfId="2918" xr:uid="{02994C20-9A59-4FEC-9362-48691D48F076}"/>
    <cellStyle name="Įprastas 5 2 4 7 2 3 2" xfId="5511" xr:uid="{4D1F515A-6767-4320-A5A7-60E27837DB43}"/>
    <cellStyle name="Įprastas 5 2 4 7 2 3_8 priedas" xfId="9159" xr:uid="{458A79D6-78C6-4D50-A542-AB4117D08C96}"/>
    <cellStyle name="Įprastas 5 2 4 7 2 4" xfId="7239" xr:uid="{44FCF8FC-FDBB-4289-85C0-6FC2E264AC1E}"/>
    <cellStyle name="Įprastas 5 2 4 7 2 5" xfId="3783" xr:uid="{52042995-7CB4-4869-B860-2CDA9ADE69BA}"/>
    <cellStyle name="Įprastas 5 2 4 7 2_8 priedas" xfId="9157" xr:uid="{5AE27D93-A8AD-4B24-88BF-D30F6CF69150}"/>
    <cellStyle name="Įprastas 5 2 4 7 3" xfId="1694" xr:uid="{CE88DB23-8765-4CAF-893B-BBB03DFF231C}"/>
    <cellStyle name="Įprastas 5 2 4 7 3 2" xfId="5837" xr:uid="{48FB5013-947E-4805-89A6-D100A4E34FCB}"/>
    <cellStyle name="Įprastas 5 2 4 7 3 3" xfId="7565" xr:uid="{83298B95-C20B-4D57-A2E1-900B2C68A765}"/>
    <cellStyle name="Įprastas 5 2 4 7 3 4" xfId="4109" xr:uid="{D9A67991-2EBD-444C-B9DD-9B0D7280DFA3}"/>
    <cellStyle name="Įprastas 5 2 4 7 3_8 priedas" xfId="9160" xr:uid="{AB05D0A2-82F8-44DB-8B5D-A87E394AB533}"/>
    <cellStyle name="Įprastas 5 2 4 7 4" xfId="2380" xr:uid="{E772843D-D344-4A29-A82D-6CC62D09306B}"/>
    <cellStyle name="Įprastas 5 2 4 7 4 2" xfId="4973" xr:uid="{8F6F6A8D-23EC-41EA-BCB9-F20C1EFEF8A4}"/>
    <cellStyle name="Įprastas 5 2 4 7 4_8 priedas" xfId="9161" xr:uid="{F2933DCE-2A82-4224-89D9-9278837518FA}"/>
    <cellStyle name="Įprastas 5 2 4 7 5" xfId="6701" xr:uid="{7FF96051-C2EC-48D6-8A0F-D4ED5089D9F3}"/>
    <cellStyle name="Įprastas 5 2 4 7 6" xfId="3245" xr:uid="{2C571FDD-D25D-4695-9B1A-1FF3ECD90AB6}"/>
    <cellStyle name="Įprastas 5 2 4 7_8 priedas" xfId="1249" xr:uid="{00000000-0005-0000-0000-000031020000}"/>
    <cellStyle name="Įprastas 5 2 4 8" xfId="482" xr:uid="{00000000-0005-0000-0000-000032020000}"/>
    <cellStyle name="Įprastas 5 2 4 8 2" xfId="1695" xr:uid="{0D46A591-3465-49A6-A6FF-608E0A1EBDDC}"/>
    <cellStyle name="Įprastas 5 2 4 8 2 2" xfId="6087" xr:uid="{B3F972C0-28A7-4A2B-9166-6291B94A699C}"/>
    <cellStyle name="Įprastas 5 2 4 8 2 3" xfId="7815" xr:uid="{FDC00BA5-03A2-47CC-A153-5B077A7DA82D}"/>
    <cellStyle name="Įprastas 5 2 4 8 2 4" xfId="4359" xr:uid="{CF94D08D-72A0-423E-9B50-CB8EEA88E46E}"/>
    <cellStyle name="Įprastas 5 2 4 8 2_8 priedas" xfId="9163" xr:uid="{F2EFFA89-A77B-42AA-B1BB-53DEAAC7BE4A}"/>
    <cellStyle name="Įprastas 5 2 4 8 3" xfId="2630" xr:uid="{860DB479-9D52-4B35-B728-CA4C19F4B8D5}"/>
    <cellStyle name="Įprastas 5 2 4 8 3 2" xfId="5223" xr:uid="{0E1D2C04-8B72-4F34-BA12-63A71E6373E2}"/>
    <cellStyle name="Įprastas 5 2 4 8 3_8 priedas" xfId="9164" xr:uid="{9F3C8A7A-3857-4696-AA42-A6638AAD1426}"/>
    <cellStyle name="Įprastas 5 2 4 8 4" xfId="6951" xr:uid="{73B74967-B6DE-4443-B99B-E433B841061D}"/>
    <cellStyle name="Įprastas 5 2 4 8 5" xfId="3495" xr:uid="{0AFF220C-ED5F-4C44-BB2B-CD7DB3998969}"/>
    <cellStyle name="Įprastas 5 2 4 8_8 priedas" xfId="9162" xr:uid="{F315BA36-A99B-4635-A2E3-0216C15668F4}"/>
    <cellStyle name="Įprastas 5 2 4 9" xfId="1696" xr:uid="{8F6445D3-8856-41AF-9715-A300A32FE8AB}"/>
    <cellStyle name="Įprastas 5 2 4 9 2" xfId="5655" xr:uid="{7FD6C397-DB5A-4B7E-AAD0-2A8A12C0E6C0}"/>
    <cellStyle name="Įprastas 5 2 4 9 3" xfId="7383" xr:uid="{B3EB7123-C5C3-4D0B-B872-20279C2B87BD}"/>
    <cellStyle name="Įprastas 5 2 4 9 4" xfId="3927" xr:uid="{F5B84C86-6995-4B54-B964-7FB87027D880}"/>
    <cellStyle name="Įprastas 5 2 4 9_8 priedas" xfId="9165" xr:uid="{82FA0EB0-70CF-4367-9C5F-BB3F6732E15F}"/>
    <cellStyle name="Įprastas 5 2 4_8 priedas" xfId="179" xr:uid="{00000000-0005-0000-0000-000033020000}"/>
    <cellStyle name="Įprastas 5 2 5" xfId="215" xr:uid="{00000000-0005-0000-0000-000034020000}"/>
    <cellStyle name="Įprastas 5 2 5 10" xfId="6702" xr:uid="{CC88F5A2-79E5-4CA9-9AEC-68EF648BDC4C}"/>
    <cellStyle name="Įprastas 5 2 5 11" xfId="3246" xr:uid="{E4AC3526-711C-47DF-BCAC-0138C7D730E1}"/>
    <cellStyle name="Įprastas 5 2 5 2" xfId="216" xr:uid="{00000000-0005-0000-0000-000035020000}"/>
    <cellStyle name="Įprastas 5 2 5 2 10" xfId="3247" xr:uid="{514627DA-EF1A-4183-B43C-C36FECD39610}"/>
    <cellStyle name="Įprastas 5 2 5 2 2" xfId="217" xr:uid="{00000000-0005-0000-0000-000036020000}"/>
    <cellStyle name="Įprastas 5 2 5 2 2 2" xfId="218" xr:uid="{00000000-0005-0000-0000-000037020000}"/>
    <cellStyle name="Įprastas 5 2 5 2 2 2 2" xfId="704" xr:uid="{00000000-0005-0000-0000-000038020000}"/>
    <cellStyle name="Įprastas 5 2 5 2 2 2 2 2" xfId="1697" xr:uid="{FF983495-4BBF-4515-9F4E-E3CED1C72843}"/>
    <cellStyle name="Įprastas 5 2 5 2 2 2 2 2 2" xfId="6309" xr:uid="{C5F79F2C-8A33-462C-BD7D-F1D7CFCA7B26}"/>
    <cellStyle name="Įprastas 5 2 5 2 2 2 2 2 3" xfId="8037" xr:uid="{AA645489-328C-4DF3-B3A7-8F246F300347}"/>
    <cellStyle name="Įprastas 5 2 5 2 2 2 2 2 4" xfId="4581" xr:uid="{399600DC-E22B-45C2-843F-9AEB5E73C435}"/>
    <cellStyle name="Įprastas 5 2 5 2 2 2 2 2_8 priedas" xfId="9167" xr:uid="{9174781C-835F-4708-A606-578B4A833F9D}"/>
    <cellStyle name="Įprastas 5 2 5 2 2 2 2 3" xfId="2852" xr:uid="{F624A66A-D285-49F9-A488-B47AA0CF8585}"/>
    <cellStyle name="Įprastas 5 2 5 2 2 2 2 3 2" xfId="5445" xr:uid="{00CBE3F5-6EBD-4C07-A605-78A49E86D4CB}"/>
    <cellStyle name="Įprastas 5 2 5 2 2 2 2 3_8 priedas" xfId="9168" xr:uid="{CD21BE8A-3007-41F1-870A-C1AB1A64511F}"/>
    <cellStyle name="Įprastas 5 2 5 2 2 2 2 4" xfId="7173" xr:uid="{243C58C5-A73E-464A-B220-5621014EDF96}"/>
    <cellStyle name="Įprastas 5 2 5 2 2 2 2 5" xfId="3717" xr:uid="{1624D540-9694-465A-B7CE-466B639EF64E}"/>
    <cellStyle name="Įprastas 5 2 5 2 2 2 2_8 priedas" xfId="9166" xr:uid="{2CF0505D-813C-4565-A351-4A16383B15B4}"/>
    <cellStyle name="Įprastas 5 2 5 2 2 2 3" xfId="1698" xr:uid="{77308A84-6365-4EF8-86C4-63E909437430}"/>
    <cellStyle name="Įprastas 5 2 5 2 2 2 3 2" xfId="5841" xr:uid="{CCA9082A-B859-4CFF-B937-94ABBBF84BE0}"/>
    <cellStyle name="Įprastas 5 2 5 2 2 2 3 3" xfId="7569" xr:uid="{0782E598-FF0C-48EA-8CCD-7316DB1DF850}"/>
    <cellStyle name="Įprastas 5 2 5 2 2 2 3 4" xfId="4113" xr:uid="{1471C966-3860-49E3-A003-91111381ED66}"/>
    <cellStyle name="Įprastas 5 2 5 2 2 2 3_8 priedas" xfId="9169" xr:uid="{0F77592E-09C0-406D-A9A2-F4AA5A90F379}"/>
    <cellStyle name="Įprastas 5 2 5 2 2 2 4" xfId="2384" xr:uid="{6B6358B8-5F8B-4BA1-9C7E-9D669376F40C}"/>
    <cellStyle name="Įprastas 5 2 5 2 2 2 4 2" xfId="4977" xr:uid="{FD8F114B-96ED-4C16-9565-3F6623701DE7}"/>
    <cellStyle name="Įprastas 5 2 5 2 2 2 4_8 priedas" xfId="9170" xr:uid="{94E36838-EEA6-4846-AC2F-A177D7448FCE}"/>
    <cellStyle name="Įprastas 5 2 5 2 2 2 5" xfId="6705" xr:uid="{DA66C1B2-F350-4573-A547-2B4E552E8EFD}"/>
    <cellStyle name="Įprastas 5 2 5 2 2 2 6" xfId="3249" xr:uid="{F872C06B-2A7A-44EA-AB41-C2BD844E8F3E}"/>
    <cellStyle name="Įprastas 5 2 5 2 2 2_8 priedas" xfId="1320" xr:uid="{00000000-0005-0000-0000-000039020000}"/>
    <cellStyle name="Įprastas 5 2 5 2 2 3" xfId="219" xr:uid="{00000000-0005-0000-0000-00003A020000}"/>
    <cellStyle name="Įprastas 5 2 5 2 2 3 2" xfId="848" xr:uid="{00000000-0005-0000-0000-00003B020000}"/>
    <cellStyle name="Įprastas 5 2 5 2 2 3 2 2" xfId="1699" xr:uid="{359D0698-4278-4EB7-A32D-81B3BE40BE1B}"/>
    <cellStyle name="Įprastas 5 2 5 2 2 3 2 2 2" xfId="6453" xr:uid="{8BB9E599-607A-4C51-BD8D-31299C956623}"/>
    <cellStyle name="Įprastas 5 2 5 2 2 3 2 2 3" xfId="8181" xr:uid="{BBD868E0-F4AA-4003-9BFA-5C5681FFF588}"/>
    <cellStyle name="Įprastas 5 2 5 2 2 3 2 2 4" xfId="4725" xr:uid="{FC9FD561-4F63-4838-9637-4876C0617FCD}"/>
    <cellStyle name="Įprastas 5 2 5 2 2 3 2 2_8 priedas" xfId="9172" xr:uid="{FA3D7BEB-331F-48DB-B23F-66E455004C15}"/>
    <cellStyle name="Įprastas 5 2 5 2 2 3 2 3" xfId="2996" xr:uid="{CBC09182-A46E-4939-B08E-0DCD61C8BA7D}"/>
    <cellStyle name="Įprastas 5 2 5 2 2 3 2 3 2" xfId="5589" xr:uid="{604B2C4A-CF02-49B6-850D-FF57106EA5FA}"/>
    <cellStyle name="Įprastas 5 2 5 2 2 3 2 3_8 priedas" xfId="9173" xr:uid="{FBDD40DA-D848-4948-BB33-36699DC63104}"/>
    <cellStyle name="Įprastas 5 2 5 2 2 3 2 4" xfId="7317" xr:uid="{C6CE7B48-0254-481E-850C-2862C0810249}"/>
    <cellStyle name="Įprastas 5 2 5 2 2 3 2 5" xfId="3861" xr:uid="{6FC81254-5973-48FA-AEF4-80452F61FA77}"/>
    <cellStyle name="Įprastas 5 2 5 2 2 3 2_8 priedas" xfId="9171" xr:uid="{8B098D49-CD19-4FF3-931F-3108C0949D77}"/>
    <cellStyle name="Įprastas 5 2 5 2 2 3 3" xfId="1700" xr:uid="{939DF264-FB7F-4079-A344-EF7AA6E7E2F0}"/>
    <cellStyle name="Įprastas 5 2 5 2 2 3 3 2" xfId="5842" xr:uid="{1FCA0158-5FBF-4230-B5E6-4BB8AB5CAA2D}"/>
    <cellStyle name="Įprastas 5 2 5 2 2 3 3 3" xfId="7570" xr:uid="{4B03A79F-6114-4BF2-BF1C-1F953A78A497}"/>
    <cellStyle name="Įprastas 5 2 5 2 2 3 3 4" xfId="4114" xr:uid="{A8E13D29-10E0-452B-AF91-3DCE365FCD55}"/>
    <cellStyle name="Įprastas 5 2 5 2 2 3 3_8 priedas" xfId="9174" xr:uid="{6AFCFB6D-839C-4965-A514-03FF71A6B88F}"/>
    <cellStyle name="Įprastas 5 2 5 2 2 3 4" xfId="2385" xr:uid="{09664E10-9739-4177-9C22-05C4911C0B8B}"/>
    <cellStyle name="Įprastas 5 2 5 2 2 3 4 2" xfId="4978" xr:uid="{10AD6993-807A-4FB5-8831-BAC718ADA6BF}"/>
    <cellStyle name="Įprastas 5 2 5 2 2 3 4_8 priedas" xfId="9175" xr:uid="{4AFED973-EA8D-4F2B-AF42-4A8EA1F83F97}"/>
    <cellStyle name="Įprastas 5 2 5 2 2 3 5" xfId="6706" xr:uid="{EEE3A89F-581B-4EAE-9057-D533D163D518}"/>
    <cellStyle name="Įprastas 5 2 5 2 2 3 6" xfId="3250" xr:uid="{40B342A8-2B31-45E5-9509-7E925D701B35}"/>
    <cellStyle name="Įprastas 5 2 5 2 2 3_8 priedas" xfId="1183" xr:uid="{00000000-0005-0000-0000-00003C020000}"/>
    <cellStyle name="Įprastas 5 2 5 2 2 4" xfId="560" xr:uid="{00000000-0005-0000-0000-00003D020000}"/>
    <cellStyle name="Įprastas 5 2 5 2 2 4 2" xfId="1701" xr:uid="{7A5ED46B-3036-46AC-BD4C-4655FB16D32E}"/>
    <cellStyle name="Įprastas 5 2 5 2 2 4 2 2" xfId="6165" xr:uid="{4EA931AE-0C3A-4163-AA0A-61B66B6D32F7}"/>
    <cellStyle name="Įprastas 5 2 5 2 2 4 2 3" xfId="7893" xr:uid="{4C85CDFE-8756-4FCF-9BC2-BB7D89687F45}"/>
    <cellStyle name="Įprastas 5 2 5 2 2 4 2 4" xfId="4437" xr:uid="{64F2061F-D117-4621-BB43-31ED2A59510D}"/>
    <cellStyle name="Įprastas 5 2 5 2 2 4 2_8 priedas" xfId="9177" xr:uid="{5D035C71-3B7E-482A-BFCC-AE361C06A459}"/>
    <cellStyle name="Įprastas 5 2 5 2 2 4 3" xfId="2708" xr:uid="{3A4114C9-60A3-429A-A8B8-BFBFBF0959E8}"/>
    <cellStyle name="Įprastas 5 2 5 2 2 4 3 2" xfId="5301" xr:uid="{04390A2A-9D47-41F6-8637-A33920F4561A}"/>
    <cellStyle name="Įprastas 5 2 5 2 2 4 3_8 priedas" xfId="9178" xr:uid="{7CADFF76-0E7B-407A-9DD1-D48AD39FFA57}"/>
    <cellStyle name="Įprastas 5 2 5 2 2 4 4" xfId="7029" xr:uid="{D616DA14-B5BA-47B2-B1E3-ABA0039F91FC}"/>
    <cellStyle name="Įprastas 5 2 5 2 2 4 5" xfId="3573" xr:uid="{449A052F-9809-4260-8220-4C22EF14CD2F}"/>
    <cellStyle name="Įprastas 5 2 5 2 2 4_8 priedas" xfId="9176" xr:uid="{04F82F6A-312E-4BE8-9596-B429C7479F22}"/>
    <cellStyle name="Įprastas 5 2 5 2 2 5" xfId="1702" xr:uid="{783D8105-7A43-4FE3-95EA-8C5E744CD999}"/>
    <cellStyle name="Įprastas 5 2 5 2 2 5 2" xfId="5840" xr:uid="{299D1409-CECC-4AA8-989F-6EBFE833FF80}"/>
    <cellStyle name="Įprastas 5 2 5 2 2 5 3" xfId="7568" xr:uid="{CDB36655-E3F1-4353-BBAF-6CE1B695D7D3}"/>
    <cellStyle name="Įprastas 5 2 5 2 2 5 4" xfId="4112" xr:uid="{155B5003-3AD2-45FE-BFD1-BC602AEC5E90}"/>
    <cellStyle name="Įprastas 5 2 5 2 2 5_8 priedas" xfId="9179" xr:uid="{4FE8705E-6396-4B51-B537-ED2FCABD8436}"/>
    <cellStyle name="Įprastas 5 2 5 2 2 6" xfId="2383" xr:uid="{603E6753-A2D3-4CD0-911C-B238C7C18DFA}"/>
    <cellStyle name="Įprastas 5 2 5 2 2 6 2" xfId="4976" xr:uid="{93D9A525-E39F-41D0-8DCD-4D5BE317F569}"/>
    <cellStyle name="Įprastas 5 2 5 2 2 6_8 priedas" xfId="9180" xr:uid="{D28E67E3-5BC3-4376-908C-A67102F79C18}"/>
    <cellStyle name="Įprastas 5 2 5 2 2 7" xfId="6704" xr:uid="{E9831599-F0E9-4268-89E7-B4CD6959D831}"/>
    <cellStyle name="Įprastas 5 2 5 2 2 8" xfId="3248" xr:uid="{DEAB2492-636E-450A-BBB8-1ABCB3397D76}"/>
    <cellStyle name="Įprastas 5 2 5 2 2_8 priedas" xfId="1095" xr:uid="{00000000-0005-0000-0000-00003E020000}"/>
    <cellStyle name="Įprastas 5 2 5 2 3" xfId="220" xr:uid="{00000000-0005-0000-0000-00003F020000}"/>
    <cellStyle name="Įprastas 5 2 5 2 3 2" xfId="221" xr:uid="{00000000-0005-0000-0000-000040020000}"/>
    <cellStyle name="Įprastas 5 2 5 2 3 2 2" xfId="752" xr:uid="{00000000-0005-0000-0000-000041020000}"/>
    <cellStyle name="Įprastas 5 2 5 2 3 2 2 2" xfId="1703" xr:uid="{52456296-722C-43F7-A08A-FAAD58ED28DA}"/>
    <cellStyle name="Įprastas 5 2 5 2 3 2 2 2 2" xfId="6357" xr:uid="{7D713477-1078-4547-A39B-2B0A0980C291}"/>
    <cellStyle name="Įprastas 5 2 5 2 3 2 2 2 3" xfId="8085" xr:uid="{BCAC2303-2070-44A6-AE85-EB3AA76898FE}"/>
    <cellStyle name="Įprastas 5 2 5 2 3 2 2 2 4" xfId="4629" xr:uid="{308E709F-AA9F-49F4-B56D-3452DE6D0C90}"/>
    <cellStyle name="Įprastas 5 2 5 2 3 2 2 2_8 priedas" xfId="9182" xr:uid="{837BA08C-1FAA-4239-8E06-F47CC05AC45B}"/>
    <cellStyle name="Įprastas 5 2 5 2 3 2 2 3" xfId="2900" xr:uid="{DCE0F283-8EC0-4715-A150-89E886920849}"/>
    <cellStyle name="Įprastas 5 2 5 2 3 2 2 3 2" xfId="5493" xr:uid="{08D330A7-8D03-4031-A5B0-7FD415A952F2}"/>
    <cellStyle name="Įprastas 5 2 5 2 3 2 2 3_8 priedas" xfId="9183" xr:uid="{7D2C8AB8-45CE-4C62-BFAE-E89021711201}"/>
    <cellStyle name="Įprastas 5 2 5 2 3 2 2 4" xfId="7221" xr:uid="{78DB0CB5-CD7D-4246-A25B-2B63C416057D}"/>
    <cellStyle name="Įprastas 5 2 5 2 3 2 2 5" xfId="3765" xr:uid="{A5C6A7F8-A5A2-46CC-B8E4-4A3C9D9ED9B7}"/>
    <cellStyle name="Įprastas 5 2 5 2 3 2 2_8 priedas" xfId="9181" xr:uid="{31B48CF0-46C7-441F-9AF6-04930335513E}"/>
    <cellStyle name="Įprastas 5 2 5 2 3 2 3" xfId="1704" xr:uid="{8F8BA9E7-0CFD-4348-9A2D-2558BD9F5EA0}"/>
    <cellStyle name="Įprastas 5 2 5 2 3 2 3 2" xfId="5844" xr:uid="{8E77845A-F2A2-4466-B542-B59E4E054CD5}"/>
    <cellStyle name="Įprastas 5 2 5 2 3 2 3 3" xfId="7572" xr:uid="{FB6D1999-F103-41D1-81A1-310E5C8B0312}"/>
    <cellStyle name="Įprastas 5 2 5 2 3 2 3 4" xfId="4116" xr:uid="{7FB7A5FF-8692-44FF-B23C-B18220BC07C4}"/>
    <cellStyle name="Įprastas 5 2 5 2 3 2 3_8 priedas" xfId="9184" xr:uid="{39249CA1-68ED-4170-A3A4-97BCDECC96E0}"/>
    <cellStyle name="Įprastas 5 2 5 2 3 2 4" xfId="2387" xr:uid="{58234513-3846-46EF-94F6-32217706A015}"/>
    <cellStyle name="Įprastas 5 2 5 2 3 2 4 2" xfId="4980" xr:uid="{79A82C13-D635-44D8-9CC9-0E813FB2FD1C}"/>
    <cellStyle name="Įprastas 5 2 5 2 3 2 4_8 priedas" xfId="9185" xr:uid="{C6021C70-66C1-41BC-A07A-E6E47BDB208B}"/>
    <cellStyle name="Įprastas 5 2 5 2 3 2 5" xfId="6708" xr:uid="{BC4AA17F-886D-4AF8-9675-36B56451B005}"/>
    <cellStyle name="Įprastas 5 2 5 2 3 2 6" xfId="3252" xr:uid="{758024BE-110F-4D8D-AADC-A9AE7C05DF4F}"/>
    <cellStyle name="Įprastas 5 2 5 2 3 2_8 priedas" xfId="1271" xr:uid="{00000000-0005-0000-0000-000042020000}"/>
    <cellStyle name="Įprastas 5 2 5 2 3 3" xfId="222" xr:uid="{00000000-0005-0000-0000-000043020000}"/>
    <cellStyle name="Įprastas 5 2 5 2 3 3 2" xfId="896" xr:uid="{00000000-0005-0000-0000-000044020000}"/>
    <cellStyle name="Įprastas 5 2 5 2 3 3 2 2" xfId="1705" xr:uid="{F1147F3E-6743-46C8-BF54-94C8324730E6}"/>
    <cellStyle name="Įprastas 5 2 5 2 3 3 2 2 2" xfId="6501" xr:uid="{CDF63976-6912-47A1-9D69-8268FF11848A}"/>
    <cellStyle name="Įprastas 5 2 5 2 3 3 2 2 3" xfId="8229" xr:uid="{1B015810-C043-467D-877F-5A61EEF3118C}"/>
    <cellStyle name="Įprastas 5 2 5 2 3 3 2 2 4" xfId="4773" xr:uid="{A248C90F-B2E3-443B-9107-D4C8523D6C7C}"/>
    <cellStyle name="Įprastas 5 2 5 2 3 3 2 2_8 priedas" xfId="9187" xr:uid="{1E89CE66-9834-4F2E-AFB8-4C475F95B78E}"/>
    <cellStyle name="Įprastas 5 2 5 2 3 3 2 3" xfId="3044" xr:uid="{C93B21CB-BAF7-4A2C-A930-4B3CF4537C13}"/>
    <cellStyle name="Įprastas 5 2 5 2 3 3 2 3 2" xfId="5637" xr:uid="{C469499C-3E72-4520-A2B5-50C309EB1E36}"/>
    <cellStyle name="Įprastas 5 2 5 2 3 3 2 3_8 priedas" xfId="9188" xr:uid="{FF0EE933-2537-44AD-BE33-5E60653D55C1}"/>
    <cellStyle name="Įprastas 5 2 5 2 3 3 2 4" xfId="7365" xr:uid="{B1195B46-6E5D-41A2-A022-861AFEAE00F7}"/>
    <cellStyle name="Įprastas 5 2 5 2 3 3 2 5" xfId="3909" xr:uid="{D7E82CBF-C269-4359-AEBB-EDFB22D4D2ED}"/>
    <cellStyle name="Įprastas 5 2 5 2 3 3 2_8 priedas" xfId="9186" xr:uid="{F0D7033D-F3E0-4201-B697-2DF2EF6AD7DD}"/>
    <cellStyle name="Įprastas 5 2 5 2 3 3 3" xfId="1706" xr:uid="{23E7EA79-5A42-481F-9BB1-8BC3E8A1BB7A}"/>
    <cellStyle name="Įprastas 5 2 5 2 3 3 3 2" xfId="5845" xr:uid="{8C1CF817-B178-41A2-BEB7-5B6AD364A027}"/>
    <cellStyle name="Įprastas 5 2 5 2 3 3 3 3" xfId="7573" xr:uid="{B450DA4C-EBDF-4A83-B63A-8B92B3C120E8}"/>
    <cellStyle name="Įprastas 5 2 5 2 3 3 3 4" xfId="4117" xr:uid="{91BAB116-47C3-4226-9571-FA3DABF97F7A}"/>
    <cellStyle name="Įprastas 5 2 5 2 3 3 3_8 priedas" xfId="9189" xr:uid="{D2A40CA2-2FD4-4156-85D0-63C711825484}"/>
    <cellStyle name="Įprastas 5 2 5 2 3 3 4" xfId="2388" xr:uid="{2825260D-CABD-406A-B988-FC6F194A6792}"/>
    <cellStyle name="Įprastas 5 2 5 2 3 3 4 2" xfId="4981" xr:uid="{CFC8F337-B572-401D-B85A-FF30258CFFFD}"/>
    <cellStyle name="Įprastas 5 2 5 2 3 3 4_8 priedas" xfId="9190" xr:uid="{ED4BE4AC-4E04-4B78-A290-B7B0E9696110}"/>
    <cellStyle name="Įprastas 5 2 5 2 3 3 5" xfId="6709" xr:uid="{33573418-F618-4FAC-853D-A7A27244DAA2}"/>
    <cellStyle name="Įprastas 5 2 5 2 3 3 6" xfId="3253" xr:uid="{7B149F12-3841-435E-A7C6-B72E52A662D7}"/>
    <cellStyle name="Įprastas 5 2 5 2 3 3_8 priedas" xfId="1135" xr:uid="{00000000-0005-0000-0000-000045020000}"/>
    <cellStyle name="Įprastas 5 2 5 2 3 4" xfId="608" xr:uid="{00000000-0005-0000-0000-000046020000}"/>
    <cellStyle name="Įprastas 5 2 5 2 3 4 2" xfId="1707" xr:uid="{C7084C91-5524-48E3-B693-5F85B1C1B499}"/>
    <cellStyle name="Įprastas 5 2 5 2 3 4 2 2" xfId="6213" xr:uid="{F0F7C700-D097-4221-8198-7245781431A9}"/>
    <cellStyle name="Įprastas 5 2 5 2 3 4 2 3" xfId="7941" xr:uid="{2026A38A-F8D1-42D8-813C-851B31B0F796}"/>
    <cellStyle name="Įprastas 5 2 5 2 3 4 2 4" xfId="4485" xr:uid="{14645B2B-2674-4215-885A-777480E8ABAD}"/>
    <cellStyle name="Įprastas 5 2 5 2 3 4 2_8 priedas" xfId="9192" xr:uid="{6D41E30F-FAAF-44EE-AD69-E8D4C00EFC6C}"/>
    <cellStyle name="Įprastas 5 2 5 2 3 4 3" xfId="2756" xr:uid="{C6A52629-1BC3-4826-B1EE-BCBD25CB6C0F}"/>
    <cellStyle name="Įprastas 5 2 5 2 3 4 3 2" xfId="5349" xr:uid="{4D7912AD-47E0-4406-BA09-7C55762593A5}"/>
    <cellStyle name="Įprastas 5 2 5 2 3 4 3_8 priedas" xfId="9193" xr:uid="{0E6357F9-C747-4F4C-AD80-75B9622A8D26}"/>
    <cellStyle name="Įprastas 5 2 5 2 3 4 4" xfId="7077" xr:uid="{C925487A-D852-4529-AE9D-14445823747A}"/>
    <cellStyle name="Įprastas 5 2 5 2 3 4 5" xfId="3621" xr:uid="{B90E2909-611B-43D3-8334-FB9480CC2080}"/>
    <cellStyle name="Įprastas 5 2 5 2 3 4_8 priedas" xfId="9191" xr:uid="{01A7F139-CD9B-4FE5-88A3-C7370ED9DC69}"/>
    <cellStyle name="Įprastas 5 2 5 2 3 5" xfId="1708" xr:uid="{529FCC98-4B8E-490A-B37C-D17B54541740}"/>
    <cellStyle name="Įprastas 5 2 5 2 3 5 2" xfId="5843" xr:uid="{F0FA3DB5-1856-420B-AE50-661154C50510}"/>
    <cellStyle name="Įprastas 5 2 5 2 3 5 3" xfId="7571" xr:uid="{FE79B1FE-EB0C-45EA-90E4-C832EDF7BADA}"/>
    <cellStyle name="Įprastas 5 2 5 2 3 5 4" xfId="4115" xr:uid="{86796269-E0F8-4E1C-BAB5-9AF436AE9EF3}"/>
    <cellStyle name="Įprastas 5 2 5 2 3 5_8 priedas" xfId="9194" xr:uid="{EB669C19-74B8-46F7-9401-09BB65947488}"/>
    <cellStyle name="Įprastas 5 2 5 2 3 6" xfId="2386" xr:uid="{664868B6-5CB8-44AB-8481-D74912F9A8E1}"/>
    <cellStyle name="Įprastas 5 2 5 2 3 6 2" xfId="4979" xr:uid="{84C7311C-3E7B-4B20-BF1C-432449AB732D}"/>
    <cellStyle name="Įprastas 5 2 5 2 3 6_8 priedas" xfId="9195" xr:uid="{55D13E3E-0D6B-434B-ADCE-B6225AE36548}"/>
    <cellStyle name="Įprastas 5 2 5 2 3 7" xfId="6707" xr:uid="{7972E523-0E91-46FB-AB6A-F07DBA6D3E2C}"/>
    <cellStyle name="Įprastas 5 2 5 2 3 8" xfId="3251" xr:uid="{AD1EDAF7-A952-491E-9C7E-2EB1C066D47F}"/>
    <cellStyle name="Įprastas 5 2 5 2 3_8 priedas" xfId="1047" xr:uid="{00000000-0005-0000-0000-000047020000}"/>
    <cellStyle name="Įprastas 5 2 5 2 4" xfId="223" xr:uid="{00000000-0005-0000-0000-000048020000}"/>
    <cellStyle name="Įprastas 5 2 5 2 4 2" xfId="656" xr:uid="{00000000-0005-0000-0000-000049020000}"/>
    <cellStyle name="Įprastas 5 2 5 2 4 2 2" xfId="1709" xr:uid="{ADF6D231-FBB8-4C50-9B7D-69AB01992754}"/>
    <cellStyle name="Įprastas 5 2 5 2 4 2 2 2" xfId="6261" xr:uid="{7CBB6263-7E3A-4015-8AF0-AF99AA2BDDFD}"/>
    <cellStyle name="Įprastas 5 2 5 2 4 2 2 3" xfId="7989" xr:uid="{4834E91A-9218-401F-BE4C-BA336BFC0A78}"/>
    <cellStyle name="Įprastas 5 2 5 2 4 2 2 4" xfId="4533" xr:uid="{B021354A-6552-442F-886A-89E466DB486C}"/>
    <cellStyle name="Įprastas 5 2 5 2 4 2 2_8 priedas" xfId="9197" xr:uid="{42DD9460-527C-4320-AC2F-F77483827325}"/>
    <cellStyle name="Įprastas 5 2 5 2 4 2 3" xfId="2804" xr:uid="{CA47470B-E97A-49C2-A985-40D4263323C4}"/>
    <cellStyle name="Įprastas 5 2 5 2 4 2 3 2" xfId="5397" xr:uid="{6FF0E124-CB5C-4546-B788-05D86F58D4EF}"/>
    <cellStyle name="Įprastas 5 2 5 2 4 2 3_8 priedas" xfId="9198" xr:uid="{6CB77C0B-4C4E-46E5-B709-F874C1E5B9C7}"/>
    <cellStyle name="Įprastas 5 2 5 2 4 2 4" xfId="7125" xr:uid="{97DE778C-B2E9-4C52-815D-2D228F6A2819}"/>
    <cellStyle name="Įprastas 5 2 5 2 4 2 5" xfId="3669" xr:uid="{A958A947-7C3F-47D3-8ED3-04409BD1D882}"/>
    <cellStyle name="Įprastas 5 2 5 2 4 2_8 priedas" xfId="9196" xr:uid="{3119DC3E-0A70-41A2-B15D-EDD361919A73}"/>
    <cellStyle name="Įprastas 5 2 5 2 4 3" xfId="1710" xr:uid="{EA07D43C-2719-4611-9E7D-C6509BB8115E}"/>
    <cellStyle name="Įprastas 5 2 5 2 4 3 2" xfId="5846" xr:uid="{AF5E548A-E9CA-4755-8C96-A96464C31923}"/>
    <cellStyle name="Įprastas 5 2 5 2 4 3 3" xfId="7574" xr:uid="{21CC80E4-3BBD-48A7-B84F-F3B1F2EC0299}"/>
    <cellStyle name="Įprastas 5 2 5 2 4 3 4" xfId="4118" xr:uid="{A90A8695-40DE-48A5-81A4-61570E74FE78}"/>
    <cellStyle name="Įprastas 5 2 5 2 4 3_8 priedas" xfId="9199" xr:uid="{030B7789-2082-4D07-BD66-74818E85411C}"/>
    <cellStyle name="Įprastas 5 2 5 2 4 4" xfId="2389" xr:uid="{80708A53-2A3D-4A9F-B2E3-82DE87164ED3}"/>
    <cellStyle name="Įprastas 5 2 5 2 4 4 2" xfId="4982" xr:uid="{14EA9888-154B-49BB-87BD-3FC56A1EF72A}"/>
    <cellStyle name="Įprastas 5 2 5 2 4 4_8 priedas" xfId="9200" xr:uid="{D11A10F0-3F14-4175-BFDD-DC454ADC312D}"/>
    <cellStyle name="Įprastas 5 2 5 2 4 5" xfId="6710" xr:uid="{3ED8E64C-D4A9-4999-A564-C852BCB16243}"/>
    <cellStyle name="Įprastas 5 2 5 2 4 6" xfId="3254" xr:uid="{D44E6DD5-38FD-456D-A75F-27022E8E0418}"/>
    <cellStyle name="Įprastas 5 2 5 2 4_8 priedas" xfId="999" xr:uid="{00000000-0005-0000-0000-00004A020000}"/>
    <cellStyle name="Įprastas 5 2 5 2 5" xfId="224" xr:uid="{00000000-0005-0000-0000-00004B020000}"/>
    <cellStyle name="Įprastas 5 2 5 2 5 2" xfId="800" xr:uid="{00000000-0005-0000-0000-00004C020000}"/>
    <cellStyle name="Įprastas 5 2 5 2 5 2 2" xfId="1711" xr:uid="{26F6F0D5-CD9D-4EAA-A48C-2BE357E21852}"/>
    <cellStyle name="Įprastas 5 2 5 2 5 2 2 2" xfId="6405" xr:uid="{F69B0BC5-F564-4644-8C9E-5209E53384B3}"/>
    <cellStyle name="Įprastas 5 2 5 2 5 2 2 3" xfId="8133" xr:uid="{76AF3093-F4A3-4D2A-BF9F-B95ECB39CA2F}"/>
    <cellStyle name="Įprastas 5 2 5 2 5 2 2 4" xfId="4677" xr:uid="{0A186E77-F126-4861-97F4-2DA757D97619}"/>
    <cellStyle name="Įprastas 5 2 5 2 5 2 2_8 priedas" xfId="9202" xr:uid="{101385A3-68D5-4F99-A9B8-1E0D8F2ECB61}"/>
    <cellStyle name="Įprastas 5 2 5 2 5 2 3" xfId="2948" xr:uid="{FB79C7C5-C351-4979-9413-357B175697B1}"/>
    <cellStyle name="Įprastas 5 2 5 2 5 2 3 2" xfId="5541" xr:uid="{B4D9CA50-1C5E-44F9-81F3-D018F5599C3D}"/>
    <cellStyle name="Įprastas 5 2 5 2 5 2 3_8 priedas" xfId="9203" xr:uid="{1829558E-2EEA-4891-9AE7-57B2633C0951}"/>
    <cellStyle name="Įprastas 5 2 5 2 5 2 4" xfId="7269" xr:uid="{397F4728-5523-4F75-93F0-BF1DC71E64AD}"/>
    <cellStyle name="Įprastas 5 2 5 2 5 2 5" xfId="3813" xr:uid="{99035191-01DD-4E42-BF52-F169F3740B2D}"/>
    <cellStyle name="Įprastas 5 2 5 2 5 2_8 priedas" xfId="9201" xr:uid="{503CBA63-9C5E-449E-AE77-47836C0EC7EE}"/>
    <cellStyle name="Įprastas 5 2 5 2 5 3" xfId="1712" xr:uid="{6DF662F2-CB24-4F1D-ABF0-6DCEEAF2F5FE}"/>
    <cellStyle name="Įprastas 5 2 5 2 5 3 2" xfId="5847" xr:uid="{5B082C2F-3EA6-460D-88E5-83CECDB1B268}"/>
    <cellStyle name="Įprastas 5 2 5 2 5 3 3" xfId="7575" xr:uid="{3CA94118-CB37-46FD-ABC8-3F009FBAEA31}"/>
    <cellStyle name="Įprastas 5 2 5 2 5 3 4" xfId="4119" xr:uid="{079421DB-4EBD-4231-B85D-0CFF6C3FED08}"/>
    <cellStyle name="Įprastas 5 2 5 2 5 3_8 priedas" xfId="9204" xr:uid="{5B9C8CA2-CE7F-40B6-9017-A4B8766000C0}"/>
    <cellStyle name="Įprastas 5 2 5 2 5 4" xfId="2390" xr:uid="{D30CBE09-DE7E-4C52-87F8-9377A76B54E9}"/>
    <cellStyle name="Įprastas 5 2 5 2 5 4 2" xfId="4983" xr:uid="{166B1E40-E38E-4B27-B46C-4B55EC8DB231}"/>
    <cellStyle name="Įprastas 5 2 5 2 5 4_8 priedas" xfId="9205" xr:uid="{42550BA9-2118-4EB9-B6C1-C5F35650696C}"/>
    <cellStyle name="Įprastas 5 2 5 2 5 5" xfId="6711" xr:uid="{1C46C176-56C9-4104-B59B-A0E5EC7A4EC1}"/>
    <cellStyle name="Įprastas 5 2 5 2 5 6" xfId="3255" xr:uid="{7AB1BABD-1903-4983-90FE-1C446BDDCA91}"/>
    <cellStyle name="Įprastas 5 2 5 2 5_8 priedas" xfId="958" xr:uid="{00000000-0005-0000-0000-00004D020000}"/>
    <cellStyle name="Įprastas 5 2 5 2 6" xfId="512" xr:uid="{00000000-0005-0000-0000-00004E020000}"/>
    <cellStyle name="Įprastas 5 2 5 2 6 2" xfId="1713" xr:uid="{878D8DCA-B04D-45E9-B11A-DCC0196CE253}"/>
    <cellStyle name="Įprastas 5 2 5 2 6 2 2" xfId="6117" xr:uid="{5DC8AAA1-4B18-4A2E-B77F-854D16BE6E2F}"/>
    <cellStyle name="Įprastas 5 2 5 2 6 2 3" xfId="7845" xr:uid="{AB63128D-7B24-4191-81BE-0C21E7BC2732}"/>
    <cellStyle name="Įprastas 5 2 5 2 6 2 4" xfId="4389" xr:uid="{D4427E7B-99D5-4CD4-8876-FB7BC754B940}"/>
    <cellStyle name="Įprastas 5 2 5 2 6 2_8 priedas" xfId="9207" xr:uid="{EE5F857C-F9DA-4C0B-9550-7E784293937F}"/>
    <cellStyle name="Įprastas 5 2 5 2 6 3" xfId="2660" xr:uid="{24ED9688-2465-41D9-A9CD-D3F447ECBCC5}"/>
    <cellStyle name="Įprastas 5 2 5 2 6 3 2" xfId="5253" xr:uid="{44F94ED2-A796-444B-8AF1-E7BEA1FC74CD}"/>
    <cellStyle name="Įprastas 5 2 5 2 6 3_8 priedas" xfId="9208" xr:uid="{86845C75-D1CE-494D-A898-5C5F57CDA306}"/>
    <cellStyle name="Įprastas 5 2 5 2 6 4" xfId="6981" xr:uid="{A7BC2CE0-BD1D-4FBD-BC5E-744B7089808D}"/>
    <cellStyle name="Įprastas 5 2 5 2 6 5" xfId="3525" xr:uid="{D12853F4-6BE4-4AE5-A671-4D8689A9309C}"/>
    <cellStyle name="Įprastas 5 2 5 2 6_8 priedas" xfId="9206" xr:uid="{68C559ED-8565-4C60-92AA-E7B8EDEB4466}"/>
    <cellStyle name="Įprastas 5 2 5 2 7" xfId="1714" xr:uid="{16B7A474-151F-4CAD-AFB6-761D57A59F7E}"/>
    <cellStyle name="Įprastas 5 2 5 2 7 2" xfId="5839" xr:uid="{880F1DB7-3D46-4B89-9E20-8FC9388C3A44}"/>
    <cellStyle name="Įprastas 5 2 5 2 7 3" xfId="7567" xr:uid="{64C2D61D-58B4-4B27-92E8-3FE64E7B1713}"/>
    <cellStyle name="Įprastas 5 2 5 2 7 4" xfId="4111" xr:uid="{BC2A9581-3577-4620-9E18-EBBB1C0AC5A2}"/>
    <cellStyle name="Įprastas 5 2 5 2 7_8 priedas" xfId="9209" xr:uid="{EF4A9404-F2E4-41B3-AD73-AB79AF3136A2}"/>
    <cellStyle name="Įprastas 5 2 5 2 8" xfId="2382" xr:uid="{05DFE18D-783E-4DE8-8D79-A9C395A4AAC6}"/>
    <cellStyle name="Įprastas 5 2 5 2 8 2" xfId="4975" xr:uid="{9E824CE3-00ED-4ADD-87F4-74B6272E8061}"/>
    <cellStyle name="Įprastas 5 2 5 2 8_8 priedas" xfId="9210" xr:uid="{ACF33C60-8159-49E0-9EC5-8457682DFA67}"/>
    <cellStyle name="Įprastas 5 2 5 2 9" xfId="6703" xr:uid="{1C7F8E38-FE1D-4651-95F9-79A22C317BD1}"/>
    <cellStyle name="Įprastas 5 2 5 2_8 priedas" xfId="1229" xr:uid="{00000000-0005-0000-0000-00004F020000}"/>
    <cellStyle name="Įprastas 5 2 5 3" xfId="225" xr:uid="{00000000-0005-0000-0000-000050020000}"/>
    <cellStyle name="Įprastas 5 2 5 3 2" xfId="226" xr:uid="{00000000-0005-0000-0000-000051020000}"/>
    <cellStyle name="Įprastas 5 2 5 3 2 2" xfId="680" xr:uid="{00000000-0005-0000-0000-000052020000}"/>
    <cellStyle name="Įprastas 5 2 5 3 2 2 2" xfId="1715" xr:uid="{DEDAD432-67FE-4C77-99AF-9247329EB850}"/>
    <cellStyle name="Įprastas 5 2 5 3 2 2 2 2" xfId="6285" xr:uid="{F18DDE0E-AEE0-4723-874D-994864B65CFD}"/>
    <cellStyle name="Įprastas 5 2 5 3 2 2 2 3" xfId="8013" xr:uid="{8901420D-766C-4A4D-A3FA-D8F005DB0708}"/>
    <cellStyle name="Įprastas 5 2 5 3 2 2 2 4" xfId="4557" xr:uid="{905074AD-001B-4836-9DFF-F50C76552496}"/>
    <cellStyle name="Įprastas 5 2 5 3 2 2 2_8 priedas" xfId="9212" xr:uid="{A707DCE7-2372-4CE7-A5B8-E1D54404E9E1}"/>
    <cellStyle name="Įprastas 5 2 5 3 2 2 3" xfId="2828" xr:uid="{87A61092-D6AB-4CB7-8D44-1B367411D6F3}"/>
    <cellStyle name="Įprastas 5 2 5 3 2 2 3 2" xfId="5421" xr:uid="{F64003AE-64A5-4F05-BA9B-199B16F0799B}"/>
    <cellStyle name="Įprastas 5 2 5 3 2 2 3_8 priedas" xfId="9213" xr:uid="{83D4008D-7395-449A-A18E-453231B5546E}"/>
    <cellStyle name="Įprastas 5 2 5 3 2 2 4" xfId="7149" xr:uid="{AA02D593-294A-4307-9791-0CED65EC7DAC}"/>
    <cellStyle name="Įprastas 5 2 5 3 2 2 5" xfId="3693" xr:uid="{1469E6FF-4C11-4C6F-A48C-538FBCA3623B}"/>
    <cellStyle name="Įprastas 5 2 5 3 2 2_8 priedas" xfId="9211" xr:uid="{319C510B-876C-4BAE-A34E-1F0651FAE55F}"/>
    <cellStyle name="Įprastas 5 2 5 3 2 3" xfId="1716" xr:uid="{9AB44546-8AE4-4AA3-BDB3-CCF328F3DE89}"/>
    <cellStyle name="Įprastas 5 2 5 3 2 3 2" xfId="5849" xr:uid="{275D2145-CA73-4266-A298-B1D536D81CFA}"/>
    <cellStyle name="Įprastas 5 2 5 3 2 3 3" xfId="7577" xr:uid="{DAAE9213-6F22-40B5-B12C-8C7D973A6D27}"/>
    <cellStyle name="Įprastas 5 2 5 3 2 3 4" xfId="4121" xr:uid="{7B6424C3-AE45-468F-8AE7-B76B2A6A1F1B}"/>
    <cellStyle name="Įprastas 5 2 5 3 2 3_8 priedas" xfId="9214" xr:uid="{38E4CFEE-B279-4C0A-A492-962072CC065E}"/>
    <cellStyle name="Įprastas 5 2 5 3 2 4" xfId="2392" xr:uid="{F25B1F34-F83B-408C-8A56-AE917F1AAF3A}"/>
    <cellStyle name="Įprastas 5 2 5 3 2 4 2" xfId="4985" xr:uid="{161212D8-8DAF-4B3E-A0EB-6DC7BF40FD22}"/>
    <cellStyle name="Įprastas 5 2 5 3 2 4_8 priedas" xfId="9215" xr:uid="{16B4B554-45F3-4D65-980C-F44834E4C30E}"/>
    <cellStyle name="Įprastas 5 2 5 3 2 5" xfId="6713" xr:uid="{2C1374B5-F675-4594-912A-BC3E4B911C8F}"/>
    <cellStyle name="Įprastas 5 2 5 3 2 6" xfId="3257" xr:uid="{80DB0A07-9132-4B39-9064-36409FEEC66C}"/>
    <cellStyle name="Įprastas 5 2 5 3 2_8 priedas" xfId="939" xr:uid="{00000000-0005-0000-0000-000053020000}"/>
    <cellStyle name="Įprastas 5 2 5 3 3" xfId="227" xr:uid="{00000000-0005-0000-0000-000054020000}"/>
    <cellStyle name="Įprastas 5 2 5 3 3 2" xfId="824" xr:uid="{00000000-0005-0000-0000-000055020000}"/>
    <cellStyle name="Įprastas 5 2 5 3 3 2 2" xfId="1717" xr:uid="{70ABCDB6-B44C-487E-8DDF-187744233295}"/>
    <cellStyle name="Įprastas 5 2 5 3 3 2 2 2" xfId="6429" xr:uid="{72C97E5A-23BC-4698-80CD-79CAA7E3F2DB}"/>
    <cellStyle name="Įprastas 5 2 5 3 3 2 2 3" xfId="8157" xr:uid="{27C67568-A7D8-4D11-9CB1-ED921E1B3637}"/>
    <cellStyle name="Įprastas 5 2 5 3 3 2 2 4" xfId="4701" xr:uid="{81786665-589D-4811-AF99-76AE695AAD7E}"/>
    <cellStyle name="Įprastas 5 2 5 3 3 2 2_8 priedas" xfId="9217" xr:uid="{07F91AAA-C85A-487B-8D86-A95160E98246}"/>
    <cellStyle name="Įprastas 5 2 5 3 3 2 3" xfId="2972" xr:uid="{2FEF5175-F024-442C-A810-BEBCEAC91837}"/>
    <cellStyle name="Įprastas 5 2 5 3 3 2 3 2" xfId="5565" xr:uid="{8FD85630-16C6-4CE4-83C1-E015C16E43BC}"/>
    <cellStyle name="Įprastas 5 2 5 3 3 2 3_8 priedas" xfId="9218" xr:uid="{3E76BB81-B728-49AF-9B3D-B03551631AB1}"/>
    <cellStyle name="Įprastas 5 2 5 3 3 2 4" xfId="7293" xr:uid="{FB974D4C-A733-4F6D-BD9B-F3C1DA872BC3}"/>
    <cellStyle name="Įprastas 5 2 5 3 3 2 5" xfId="3837" xr:uid="{D0C37AE1-D05A-4361-BEEC-7A5D05577851}"/>
    <cellStyle name="Įprastas 5 2 5 3 3 2_8 priedas" xfId="9216" xr:uid="{7B4F8A95-8EDE-4342-8BA8-A7271551C784}"/>
    <cellStyle name="Įprastas 5 2 5 3 3 3" xfId="1718" xr:uid="{42951C0A-8A2B-4686-AD04-C60C000AB698}"/>
    <cellStyle name="Įprastas 5 2 5 3 3 3 2" xfId="5850" xr:uid="{26FA3F53-C9CB-4C97-9423-D218FB95BB16}"/>
    <cellStyle name="Įprastas 5 2 5 3 3 3 3" xfId="7578" xr:uid="{E6691792-F718-4E26-A090-BF095C70B8BC}"/>
    <cellStyle name="Įprastas 5 2 5 3 3 3 4" xfId="4122" xr:uid="{83FE336A-92DF-4464-8A2B-8EBA1C223EF5}"/>
    <cellStyle name="Įprastas 5 2 5 3 3 3_8 priedas" xfId="9219" xr:uid="{B10A0918-4345-4E2D-8606-5E0BF2EE094A}"/>
    <cellStyle name="Įprastas 5 2 5 3 3 4" xfId="2393" xr:uid="{ADE20929-31F3-444A-A883-9248EE3A2A61}"/>
    <cellStyle name="Įprastas 5 2 5 3 3 4 2" xfId="4986" xr:uid="{06FE3845-96B4-4156-B8F2-ABF0583BE9E7}"/>
    <cellStyle name="Įprastas 5 2 5 3 3 4_8 priedas" xfId="9220" xr:uid="{0D966B65-2FDC-4209-A787-CA429694C626}"/>
    <cellStyle name="Įprastas 5 2 5 3 3 5" xfId="6714" xr:uid="{7C7DE0FA-EAA7-441C-8A3C-A0914300EA2B}"/>
    <cellStyle name="Įprastas 5 2 5 3 3 6" xfId="3258" xr:uid="{DDCF608B-A871-49CB-AD63-492A33089A98}"/>
    <cellStyle name="Įprastas 5 2 5 3 3_8 priedas" xfId="1197" xr:uid="{00000000-0005-0000-0000-000056020000}"/>
    <cellStyle name="Įprastas 5 2 5 3 4" xfId="536" xr:uid="{00000000-0005-0000-0000-000057020000}"/>
    <cellStyle name="Įprastas 5 2 5 3 4 2" xfId="1719" xr:uid="{714EED90-A56C-4DA9-9D68-B104BABFB817}"/>
    <cellStyle name="Įprastas 5 2 5 3 4 2 2" xfId="6141" xr:uid="{AEDE189C-BC3D-4606-B4D0-C41A6EFE2A1A}"/>
    <cellStyle name="Įprastas 5 2 5 3 4 2 3" xfId="7869" xr:uid="{23DD25D9-100D-42E0-A892-6AEA6804E483}"/>
    <cellStyle name="Įprastas 5 2 5 3 4 2 4" xfId="4413" xr:uid="{11C8A5E2-5917-4787-B58E-4B2BD9157601}"/>
    <cellStyle name="Įprastas 5 2 5 3 4 2_8 priedas" xfId="9222" xr:uid="{6E617084-8229-49DC-8D41-865DBBDEB987}"/>
    <cellStyle name="Įprastas 5 2 5 3 4 3" xfId="2684" xr:uid="{9D2B89CB-C568-4523-8ECD-DE2321B85355}"/>
    <cellStyle name="Įprastas 5 2 5 3 4 3 2" xfId="5277" xr:uid="{E0374FC8-961C-4C11-B5AF-FEC571CCC5CB}"/>
    <cellStyle name="Įprastas 5 2 5 3 4 3_8 priedas" xfId="9223" xr:uid="{7540AF88-4C3F-43D4-BC23-23C809800520}"/>
    <cellStyle name="Įprastas 5 2 5 3 4 4" xfId="7005" xr:uid="{F494F68B-FCB2-41C2-9F60-422F58CCFBBE}"/>
    <cellStyle name="Įprastas 5 2 5 3 4 5" xfId="3549" xr:uid="{4C47D4E3-F5BD-4D04-B722-6E0A5B2538A1}"/>
    <cellStyle name="Įprastas 5 2 5 3 4_8 priedas" xfId="9221" xr:uid="{195B98C6-06C7-446A-9C99-9D01252F9D0B}"/>
    <cellStyle name="Įprastas 5 2 5 3 5" xfId="1720" xr:uid="{377CAA71-B2FF-49E1-8619-239570323E52}"/>
    <cellStyle name="Įprastas 5 2 5 3 5 2" xfId="5848" xr:uid="{1FCF2351-D927-49BF-BF59-6C08E9F7A278}"/>
    <cellStyle name="Įprastas 5 2 5 3 5 3" xfId="7576" xr:uid="{6FA48B0D-5C86-4FE7-97D3-9D36D56417CE}"/>
    <cellStyle name="Įprastas 5 2 5 3 5 4" xfId="4120" xr:uid="{2C96FFD2-E6FC-497F-B152-C4732E3664DA}"/>
    <cellStyle name="Įprastas 5 2 5 3 5_8 priedas" xfId="9224" xr:uid="{54398261-0AEB-4C7D-9DDD-0C9E9BCB751B}"/>
    <cellStyle name="Įprastas 5 2 5 3 6" xfId="2391" xr:uid="{3DF5B2C4-A375-423A-BF99-0A6D51E1C42D}"/>
    <cellStyle name="Įprastas 5 2 5 3 6 2" xfId="4984" xr:uid="{E2C4471C-61F7-4876-94BF-62E30601102E}"/>
    <cellStyle name="Įprastas 5 2 5 3 6_8 priedas" xfId="9225" xr:uid="{49080357-F76C-4377-BBCD-CD59D23613CE}"/>
    <cellStyle name="Įprastas 5 2 5 3 7" xfId="6712" xr:uid="{9C05FFC5-7797-4EBF-80D3-4A8727C7D01D}"/>
    <cellStyle name="Įprastas 5 2 5 3 8" xfId="3256" xr:uid="{F0522956-A9F6-4DDD-9E86-49A927A5361E}"/>
    <cellStyle name="Įprastas 5 2 5 3_8 priedas" xfId="929" xr:uid="{00000000-0005-0000-0000-000058020000}"/>
    <cellStyle name="Įprastas 5 2 5 4" xfId="228" xr:uid="{00000000-0005-0000-0000-000059020000}"/>
    <cellStyle name="Įprastas 5 2 5 4 2" xfId="229" xr:uid="{00000000-0005-0000-0000-00005A020000}"/>
    <cellStyle name="Įprastas 5 2 5 4 2 2" xfId="728" xr:uid="{00000000-0005-0000-0000-00005B020000}"/>
    <cellStyle name="Įprastas 5 2 5 4 2 2 2" xfId="1721" xr:uid="{D1484D8B-29E8-4DC4-8512-C6CAA653A5D0}"/>
    <cellStyle name="Įprastas 5 2 5 4 2 2 2 2" xfId="6333" xr:uid="{FE7A6BC9-9375-40F6-BCED-4AB74C4191EA}"/>
    <cellStyle name="Įprastas 5 2 5 4 2 2 2 3" xfId="8061" xr:uid="{B5328479-C509-49DF-BF17-1E5EF5C53258}"/>
    <cellStyle name="Įprastas 5 2 5 4 2 2 2 4" xfId="4605" xr:uid="{8A242773-733E-4E4F-9507-CFC2605A1B4C}"/>
    <cellStyle name="Įprastas 5 2 5 4 2 2 2_8 priedas" xfId="9227" xr:uid="{C865CBD8-3F84-4ED0-B10C-6AA53F7FC638}"/>
    <cellStyle name="Įprastas 5 2 5 4 2 2 3" xfId="2876" xr:uid="{29E369DC-CAFB-4840-957F-CF4DE8321C02}"/>
    <cellStyle name="Įprastas 5 2 5 4 2 2 3 2" xfId="5469" xr:uid="{7A0F81E5-F617-4AEE-B60F-A8987ADDA55B}"/>
    <cellStyle name="Įprastas 5 2 5 4 2 2 3_8 priedas" xfId="9228" xr:uid="{58401D91-2FB7-4D1C-B99F-D5984C283444}"/>
    <cellStyle name="Įprastas 5 2 5 4 2 2 4" xfId="7197" xr:uid="{9F5C32B0-2E4E-4ED0-8A35-CB40BAE6F028}"/>
    <cellStyle name="Įprastas 5 2 5 4 2 2 5" xfId="3741" xr:uid="{BD7A77A5-42A1-4B63-A22C-88F69893C971}"/>
    <cellStyle name="Įprastas 5 2 5 4 2 2_8 priedas" xfId="9226" xr:uid="{DA88E261-ED73-48B4-A867-05CABFF0B28D}"/>
    <cellStyle name="Įprastas 5 2 5 4 2 3" xfId="1722" xr:uid="{87CB81A0-F841-4A59-A53B-DBEFF98C327B}"/>
    <cellStyle name="Įprastas 5 2 5 4 2 3 2" xfId="5852" xr:uid="{2C69E560-B04E-4A02-A9C1-F48D226D8C74}"/>
    <cellStyle name="Įprastas 5 2 5 4 2 3 3" xfId="7580" xr:uid="{A834CAD4-F5CA-47C1-8FD1-E04DF3E959B5}"/>
    <cellStyle name="Įprastas 5 2 5 4 2 3 4" xfId="4124" xr:uid="{1B5C6D8D-6489-4405-8C15-639E3F5F8260}"/>
    <cellStyle name="Įprastas 5 2 5 4 2 3_8 priedas" xfId="9229" xr:uid="{0FC389BA-2637-4184-BF4B-9F970DA73899}"/>
    <cellStyle name="Įprastas 5 2 5 4 2 4" xfId="2395" xr:uid="{624AA22A-919A-4665-B576-45D678E75779}"/>
    <cellStyle name="Įprastas 5 2 5 4 2 4 2" xfId="4988" xr:uid="{0F34D41A-F51D-4571-9EB2-607A73F6790C}"/>
    <cellStyle name="Įprastas 5 2 5 4 2 4_8 priedas" xfId="9230" xr:uid="{891E5FDB-C3D6-4022-B708-214C6176F525}"/>
    <cellStyle name="Įprastas 5 2 5 4 2 5" xfId="6716" xr:uid="{EEE8B1BF-C0A3-4199-A126-3B3BCB02210F}"/>
    <cellStyle name="Įprastas 5 2 5 4 2 6" xfId="3260" xr:uid="{DED6F511-543D-4776-A0E9-55FDA0DD0BB7}"/>
    <cellStyle name="Įprastas 5 2 5 4 2_8 priedas" xfId="1288" xr:uid="{00000000-0005-0000-0000-00005C020000}"/>
    <cellStyle name="Įprastas 5 2 5 4 3" xfId="230" xr:uid="{00000000-0005-0000-0000-00005D020000}"/>
    <cellStyle name="Įprastas 5 2 5 4 3 2" xfId="872" xr:uid="{00000000-0005-0000-0000-00005E020000}"/>
    <cellStyle name="Įprastas 5 2 5 4 3 2 2" xfId="1723" xr:uid="{51FC084C-2520-48F0-BB06-0DF048ECE519}"/>
    <cellStyle name="Įprastas 5 2 5 4 3 2 2 2" xfId="6477" xr:uid="{A547158C-646D-48D4-A206-BCD482F17071}"/>
    <cellStyle name="Įprastas 5 2 5 4 3 2 2 3" xfId="8205" xr:uid="{E391D58E-C6E7-4A8A-9BCF-91232378F528}"/>
    <cellStyle name="Įprastas 5 2 5 4 3 2 2 4" xfId="4749" xr:uid="{14181EE2-E423-4CF4-8FB8-23D2A17C1F05}"/>
    <cellStyle name="Įprastas 5 2 5 4 3 2 2_8 priedas" xfId="9232" xr:uid="{D6124203-B1E9-4BD2-835C-313A66FEDF18}"/>
    <cellStyle name="Įprastas 5 2 5 4 3 2 3" xfId="3020" xr:uid="{0E2E374C-EA1F-4AAB-BC7F-8368BD8168FC}"/>
    <cellStyle name="Įprastas 5 2 5 4 3 2 3 2" xfId="5613" xr:uid="{4CC5AB79-D011-406B-86FD-5B164EB85AFD}"/>
    <cellStyle name="Įprastas 5 2 5 4 3 2 3_8 priedas" xfId="9233" xr:uid="{829EB482-4D99-4EEF-8EB7-8B1092066BE4}"/>
    <cellStyle name="Įprastas 5 2 5 4 3 2 4" xfId="7341" xr:uid="{2520B44C-B667-4A6E-8D5B-22D6EAA9234D}"/>
    <cellStyle name="Įprastas 5 2 5 4 3 2 5" xfId="3885" xr:uid="{CD07E627-3F8D-4C06-994D-23FF7CD80A9C}"/>
    <cellStyle name="Įprastas 5 2 5 4 3 2_8 priedas" xfId="9231" xr:uid="{EDB574DE-F614-4099-979D-1C3F144FAB2D}"/>
    <cellStyle name="Įprastas 5 2 5 4 3 3" xfId="1724" xr:uid="{8B6CCDB0-7215-40EB-AA0F-5A29439B31E3}"/>
    <cellStyle name="Įprastas 5 2 5 4 3 3 2" xfId="5853" xr:uid="{CBAA54F8-02F9-4B89-BEEF-8F7C78F7B012}"/>
    <cellStyle name="Įprastas 5 2 5 4 3 3 3" xfId="7581" xr:uid="{A236CE49-DDF1-4A77-8BCE-D84C5D240D6E}"/>
    <cellStyle name="Įprastas 5 2 5 4 3 3 4" xfId="4125" xr:uid="{3E1E4DB0-8805-461A-B13E-50151A021A3E}"/>
    <cellStyle name="Įprastas 5 2 5 4 3 3_8 priedas" xfId="9234" xr:uid="{85E6C32B-41B6-47D8-A879-7AD39F29A2DC}"/>
    <cellStyle name="Įprastas 5 2 5 4 3 4" xfId="2396" xr:uid="{0D8B267F-C491-4F77-9A5E-469F6BF1BD49}"/>
    <cellStyle name="Įprastas 5 2 5 4 3 4 2" xfId="4989" xr:uid="{1DC559E4-EB7A-4E12-A291-A170D68B611B}"/>
    <cellStyle name="Įprastas 5 2 5 4 3 4_8 priedas" xfId="9235" xr:uid="{F6EFD9DA-6B66-4781-B3EC-4AF828FE3147}"/>
    <cellStyle name="Įprastas 5 2 5 4 3 5" xfId="6717" xr:uid="{07E9C7E1-570E-4BBF-82A7-4735E6BC9E2C}"/>
    <cellStyle name="Įprastas 5 2 5 4 3 6" xfId="3261" xr:uid="{B93DDE08-973B-4408-80E3-1349A1891EC2}"/>
    <cellStyle name="Įprastas 5 2 5 4 3_8 priedas" xfId="1151" xr:uid="{00000000-0005-0000-0000-00005F020000}"/>
    <cellStyle name="Įprastas 5 2 5 4 4" xfId="584" xr:uid="{00000000-0005-0000-0000-000060020000}"/>
    <cellStyle name="Įprastas 5 2 5 4 4 2" xfId="1725" xr:uid="{592DFDB0-AD0A-421E-92E5-337934EA447C}"/>
    <cellStyle name="Įprastas 5 2 5 4 4 2 2" xfId="6189" xr:uid="{8451A846-03FB-4395-8AB5-284229A4A202}"/>
    <cellStyle name="Įprastas 5 2 5 4 4 2 3" xfId="7917" xr:uid="{C196FB53-0DBA-4F7D-AF41-0774E9863005}"/>
    <cellStyle name="Įprastas 5 2 5 4 4 2 4" xfId="4461" xr:uid="{E3FDFD20-2A96-4258-9E38-C7252FF1239F}"/>
    <cellStyle name="Įprastas 5 2 5 4 4 2_8 priedas" xfId="9237" xr:uid="{C101DB3E-460A-4EE2-A504-C402C908029E}"/>
    <cellStyle name="Įprastas 5 2 5 4 4 3" xfId="2732" xr:uid="{827E9FE7-B9F5-450E-BA9E-E4ECAB6E38B2}"/>
    <cellStyle name="Įprastas 5 2 5 4 4 3 2" xfId="5325" xr:uid="{2114512C-1CC7-48A8-A3D0-7F0FD7193B80}"/>
    <cellStyle name="Įprastas 5 2 5 4 4 3_8 priedas" xfId="9238" xr:uid="{CC5C011A-A514-4F3C-BBBD-FEC24C0B741D}"/>
    <cellStyle name="Įprastas 5 2 5 4 4 4" xfId="7053" xr:uid="{BC5BD40E-F36A-49B2-AA33-622226FB96BC}"/>
    <cellStyle name="Įprastas 5 2 5 4 4 5" xfId="3597" xr:uid="{F9887A80-923F-43D8-846D-6A752A710882}"/>
    <cellStyle name="Įprastas 5 2 5 4 4_8 priedas" xfId="9236" xr:uid="{021018F3-B347-4DFB-BAE6-5BD69F90C124}"/>
    <cellStyle name="Įprastas 5 2 5 4 5" xfId="1726" xr:uid="{4575090E-C6EC-4E70-8A85-AE44352970E2}"/>
    <cellStyle name="Įprastas 5 2 5 4 5 2" xfId="5851" xr:uid="{2E4F2560-633A-4CA7-901D-52FC6C8BD0F8}"/>
    <cellStyle name="Įprastas 5 2 5 4 5 3" xfId="7579" xr:uid="{1884AE3B-0401-4FA2-B259-12381919F1CB}"/>
    <cellStyle name="Įprastas 5 2 5 4 5 4" xfId="4123" xr:uid="{DE76E5A4-4317-469B-8BB3-6413A68F82EA}"/>
    <cellStyle name="Įprastas 5 2 5 4 5_8 priedas" xfId="9239" xr:uid="{3CEC5FEB-EC95-4B7F-B6DC-0D2173EF6CE1}"/>
    <cellStyle name="Įprastas 5 2 5 4 6" xfId="2394" xr:uid="{FBC6844C-CB63-4624-9B9F-8BD6007F0703}"/>
    <cellStyle name="Įprastas 5 2 5 4 6 2" xfId="4987" xr:uid="{78AE9AD1-F28B-4872-8DC2-9B6BF2AE62F0}"/>
    <cellStyle name="Įprastas 5 2 5 4 6_8 priedas" xfId="9240" xr:uid="{E337DD1E-EF15-488B-A822-70E0178FB6D7}"/>
    <cellStyle name="Įprastas 5 2 5 4 7" xfId="6715" xr:uid="{8DAE54B5-5FA6-4978-A215-B32FA0C8826A}"/>
    <cellStyle name="Įprastas 5 2 5 4 8" xfId="3259" xr:uid="{8C1E2ED6-DE2F-4166-82CD-528449C1F176}"/>
    <cellStyle name="Įprastas 5 2 5 4_8 priedas" xfId="1063" xr:uid="{00000000-0005-0000-0000-000061020000}"/>
    <cellStyle name="Įprastas 5 2 5 5" xfId="231" xr:uid="{00000000-0005-0000-0000-000062020000}"/>
    <cellStyle name="Įprastas 5 2 5 5 2" xfId="632" xr:uid="{00000000-0005-0000-0000-000063020000}"/>
    <cellStyle name="Įprastas 5 2 5 5 2 2" xfId="1727" xr:uid="{FCD1B382-CA96-4B12-B717-93B0B38CCE5F}"/>
    <cellStyle name="Įprastas 5 2 5 5 2 2 2" xfId="6237" xr:uid="{892675E6-7DE4-4D75-B933-5177BB741FCB}"/>
    <cellStyle name="Įprastas 5 2 5 5 2 2 3" xfId="7965" xr:uid="{60B3CA7A-ADA6-4AC7-ABDA-CC31A3A15972}"/>
    <cellStyle name="Įprastas 5 2 5 5 2 2 4" xfId="4509" xr:uid="{EF448A56-CE88-4303-8758-BA72CA9D2365}"/>
    <cellStyle name="Įprastas 5 2 5 5 2 2_8 priedas" xfId="9242" xr:uid="{1E82A60F-50E1-41BB-B5E9-54B7D7B0A423}"/>
    <cellStyle name="Įprastas 5 2 5 5 2 3" xfId="2780" xr:uid="{0BCCA5F8-3572-4E17-B14C-D77EE4262B7D}"/>
    <cellStyle name="Įprastas 5 2 5 5 2 3 2" xfId="5373" xr:uid="{A68551F6-8317-4242-9F6B-B8C44FFDE2EE}"/>
    <cellStyle name="Įprastas 5 2 5 5 2 3_8 priedas" xfId="9243" xr:uid="{453B961A-5E11-4EA6-8B29-3EAF136A9157}"/>
    <cellStyle name="Įprastas 5 2 5 5 2 4" xfId="7101" xr:uid="{508C6E18-7015-4D72-88DA-3E830FF22C61}"/>
    <cellStyle name="Įprastas 5 2 5 5 2 5" xfId="3645" xr:uid="{E9A1CB8C-A416-4732-B002-1BC24E5C86DE}"/>
    <cellStyle name="Įprastas 5 2 5 5 2_8 priedas" xfId="9241" xr:uid="{DD2D781F-CB19-464A-AE7B-52FB93E4028C}"/>
    <cellStyle name="Įprastas 5 2 5 5 3" xfId="1728" xr:uid="{8185741C-B0CB-4A45-9424-D8344BABBD22}"/>
    <cellStyle name="Įprastas 5 2 5 5 3 2" xfId="5854" xr:uid="{36400762-6049-421D-A30C-AC267BDC19DD}"/>
    <cellStyle name="Įprastas 5 2 5 5 3 3" xfId="7582" xr:uid="{0F768062-E588-41B7-A09C-BFEC56456D45}"/>
    <cellStyle name="Įprastas 5 2 5 5 3 4" xfId="4126" xr:uid="{91D8897E-68F1-4850-9796-B1A0A672FC2F}"/>
    <cellStyle name="Įprastas 5 2 5 5 3_8 priedas" xfId="9244" xr:uid="{4D297AE4-357C-469B-BC49-5B6E356D8FB4}"/>
    <cellStyle name="Įprastas 5 2 5 5 4" xfId="2397" xr:uid="{12BFA4D5-8576-475C-A676-918FB69173F3}"/>
    <cellStyle name="Įprastas 5 2 5 5 4 2" xfId="4990" xr:uid="{E560F332-4824-4165-97F3-2E7E1B1952B4}"/>
    <cellStyle name="Įprastas 5 2 5 5 4_8 priedas" xfId="9245" xr:uid="{A0BC6717-034A-4332-BA9F-0116CCEF3205}"/>
    <cellStyle name="Įprastas 5 2 5 5 5" xfId="6718" xr:uid="{9F5F9932-445D-423D-A3BA-44C899C1C01A}"/>
    <cellStyle name="Įprastas 5 2 5 5 6" xfId="3262" xr:uid="{CB0D50A3-1BE3-444A-9F25-FB61F5F75A00}"/>
    <cellStyle name="Įprastas 5 2 5 5_8 priedas" xfId="1016" xr:uid="{00000000-0005-0000-0000-000064020000}"/>
    <cellStyle name="Įprastas 5 2 5 6" xfId="232" xr:uid="{00000000-0005-0000-0000-000065020000}"/>
    <cellStyle name="Įprastas 5 2 5 6 2" xfId="776" xr:uid="{00000000-0005-0000-0000-000066020000}"/>
    <cellStyle name="Įprastas 5 2 5 6 2 2" xfId="1729" xr:uid="{7A5A8599-F324-4248-B276-1F4AA7954320}"/>
    <cellStyle name="Įprastas 5 2 5 6 2 2 2" xfId="6381" xr:uid="{E5A3D678-4075-45DB-AAB4-DD7ABE6EBC63}"/>
    <cellStyle name="Įprastas 5 2 5 6 2 2 3" xfId="8109" xr:uid="{E7D5270A-4D9A-40D0-978B-2B5912910849}"/>
    <cellStyle name="Įprastas 5 2 5 6 2 2 4" xfId="4653" xr:uid="{71D24F4B-3EEE-423F-B8DC-E084C18B30C0}"/>
    <cellStyle name="Įprastas 5 2 5 6 2 2_8 priedas" xfId="9247" xr:uid="{C4BE554F-6ED9-4E89-9571-F49409CE6548}"/>
    <cellStyle name="Įprastas 5 2 5 6 2 3" xfId="2924" xr:uid="{368FEB8F-252A-4F30-81ED-4E2E0F8921BA}"/>
    <cellStyle name="Įprastas 5 2 5 6 2 3 2" xfId="5517" xr:uid="{7A97F3F9-C3DD-4A1C-9BFE-F413F4BF678F}"/>
    <cellStyle name="Įprastas 5 2 5 6 2 3_8 priedas" xfId="9248" xr:uid="{D7566DE8-54AE-45FA-A0E0-2D3BF7729066}"/>
    <cellStyle name="Įprastas 5 2 5 6 2 4" xfId="7245" xr:uid="{6703D880-794A-4381-961B-45676F3AF7D3}"/>
    <cellStyle name="Įprastas 5 2 5 6 2 5" xfId="3789" xr:uid="{296F0AD1-2A64-47D8-AEEF-1AF40166845B}"/>
    <cellStyle name="Įprastas 5 2 5 6 2_8 priedas" xfId="9246" xr:uid="{A435D8D7-AF3E-42B7-AA75-49FB5569658A}"/>
    <cellStyle name="Įprastas 5 2 5 6 3" xfId="1730" xr:uid="{8B2DB985-831A-4E7B-87D5-5756E2CC8F8F}"/>
    <cellStyle name="Įprastas 5 2 5 6 3 2" xfId="5855" xr:uid="{B70B3925-0ADD-4418-BE0F-A99601B13C17}"/>
    <cellStyle name="Įprastas 5 2 5 6 3 3" xfId="7583" xr:uid="{5E593D1D-B532-4117-8C2E-150734E3EF7D}"/>
    <cellStyle name="Įprastas 5 2 5 6 3 4" xfId="4127" xr:uid="{5D9A0416-0957-4D92-BD47-5C6649FB2010}"/>
    <cellStyle name="Įprastas 5 2 5 6 3_8 priedas" xfId="9249" xr:uid="{33BB12F7-62A8-4935-AE38-F95E1A6738F8}"/>
    <cellStyle name="Įprastas 5 2 5 6 4" xfId="2398" xr:uid="{EDA21E92-3B0E-47CB-9D71-46CB74366ED8}"/>
    <cellStyle name="Įprastas 5 2 5 6 4 2" xfId="4991" xr:uid="{81764CB0-CAEC-4D78-8C24-8EC6724F0B94}"/>
    <cellStyle name="Įprastas 5 2 5 6 4_8 priedas" xfId="9250" xr:uid="{189A0245-388C-4D80-8578-C769EEF3ED4E}"/>
    <cellStyle name="Įprastas 5 2 5 6 5" xfId="6719" xr:uid="{07544FAC-61AF-41DB-960D-9A28651C7BAA}"/>
    <cellStyle name="Įprastas 5 2 5 6 6" xfId="3263" xr:uid="{07C05CCE-880D-4FCA-AE32-D3ADF928DF3B}"/>
    <cellStyle name="Įprastas 5 2 5 6_8 priedas" xfId="1241" xr:uid="{00000000-0005-0000-0000-000067020000}"/>
    <cellStyle name="Įprastas 5 2 5 7" xfId="488" xr:uid="{00000000-0005-0000-0000-000068020000}"/>
    <cellStyle name="Įprastas 5 2 5 7 2" xfId="1731" xr:uid="{6CEDCA24-BC53-45EC-94CA-5EFA8F4C100D}"/>
    <cellStyle name="Įprastas 5 2 5 7 2 2" xfId="6093" xr:uid="{367CBEB0-9CFE-4E71-ABC7-84A76A3FE1D2}"/>
    <cellStyle name="Įprastas 5 2 5 7 2 3" xfId="7821" xr:uid="{AEFB6095-2BE8-4FA4-AFA3-49E09EDE1C3E}"/>
    <cellStyle name="Įprastas 5 2 5 7 2 4" xfId="4365" xr:uid="{40DB54A5-25AF-4758-859F-4AEF4C7D01C0}"/>
    <cellStyle name="Įprastas 5 2 5 7 2_8 priedas" xfId="9252" xr:uid="{0B08E11A-BF3D-46FE-8BB6-737F9D781893}"/>
    <cellStyle name="Įprastas 5 2 5 7 3" xfId="2636" xr:uid="{EEEFF479-9097-4616-A176-D2C497A4A23C}"/>
    <cellStyle name="Įprastas 5 2 5 7 3 2" xfId="5229" xr:uid="{6FCCE0DD-23A1-497B-9931-B16796C49683}"/>
    <cellStyle name="Įprastas 5 2 5 7 3_8 priedas" xfId="9253" xr:uid="{8006868A-6CE0-4D9A-B936-3CB2428009F0}"/>
    <cellStyle name="Įprastas 5 2 5 7 4" xfId="6957" xr:uid="{C8C41EF0-F396-4C39-9E48-227E5ED29145}"/>
    <cellStyle name="Įprastas 5 2 5 7 5" xfId="3501" xr:uid="{9E0305FD-5C40-444B-A971-AEE58D01DC76}"/>
    <cellStyle name="Įprastas 5 2 5 7_8 priedas" xfId="9251" xr:uid="{97A570AC-FE8D-4488-8110-FD7AD2DAEA9C}"/>
    <cellStyle name="Įprastas 5 2 5 8" xfId="1732" xr:uid="{A4E6CF34-E78E-46E6-8B97-64EC1C3A82C4}"/>
    <cellStyle name="Įprastas 5 2 5 8 2" xfId="5838" xr:uid="{144C707F-1C75-43BF-8ED4-60E9C6E538D5}"/>
    <cellStyle name="Įprastas 5 2 5 8 3" xfId="7566" xr:uid="{F982B559-FA91-43EB-9EAC-6F74FFEB4019}"/>
    <cellStyle name="Įprastas 5 2 5 8 4" xfId="4110" xr:uid="{0573BE55-C6B4-48BE-8BAD-D4031014D663}"/>
    <cellStyle name="Įprastas 5 2 5 8_8 priedas" xfId="9254" xr:uid="{2A2B3219-7E7D-405C-9CBC-4E3C932BBF82}"/>
    <cellStyle name="Įprastas 5 2 5 9" xfId="2381" xr:uid="{C85B36ED-5EAB-4FA9-80ED-B784E3CA992A}"/>
    <cellStyle name="Įprastas 5 2 5 9 2" xfId="4974" xr:uid="{7DA8D7A0-E163-4B84-B72F-20C08A3142A9}"/>
    <cellStyle name="Įprastas 5 2 5 9_8 priedas" xfId="9255" xr:uid="{F6FA6DCF-5049-4E82-8A69-8D98145E4C1D}"/>
    <cellStyle name="Įprastas 5 2 5_8 priedas" xfId="982" xr:uid="{00000000-0005-0000-0000-000069020000}"/>
    <cellStyle name="Įprastas 5 2 6" xfId="233" xr:uid="{00000000-0005-0000-0000-00006A020000}"/>
    <cellStyle name="Įprastas 5 2 6 10" xfId="3264" xr:uid="{B5BC08FA-5942-493F-B850-F4A50A8C6140}"/>
    <cellStyle name="Įprastas 5 2 6 2" xfId="234" xr:uid="{00000000-0005-0000-0000-00006B020000}"/>
    <cellStyle name="Įprastas 5 2 6 2 2" xfId="235" xr:uid="{00000000-0005-0000-0000-00006C020000}"/>
    <cellStyle name="Įprastas 5 2 6 2 2 2" xfId="692" xr:uid="{00000000-0005-0000-0000-00006D020000}"/>
    <cellStyle name="Įprastas 5 2 6 2 2 2 2" xfId="1733" xr:uid="{8B04DB61-1531-4B26-8A83-4DBC193ED73D}"/>
    <cellStyle name="Įprastas 5 2 6 2 2 2 2 2" xfId="6297" xr:uid="{6309D7BB-6673-43D2-975C-F5FEA3ED960D}"/>
    <cellStyle name="Įprastas 5 2 6 2 2 2 2 3" xfId="8025" xr:uid="{5361F7E5-DB70-4A89-96D3-B9653C44F322}"/>
    <cellStyle name="Įprastas 5 2 6 2 2 2 2 4" xfId="4569" xr:uid="{289C6907-B7B5-4F8A-A969-985BAC5F5CBD}"/>
    <cellStyle name="Įprastas 5 2 6 2 2 2 2_8 priedas" xfId="9257" xr:uid="{F3CD02B0-09D8-46EE-A274-EBBADE6F4D79}"/>
    <cellStyle name="Įprastas 5 2 6 2 2 2 3" xfId="2840" xr:uid="{6E689A4A-8692-4004-B268-595592D54C9D}"/>
    <cellStyle name="Įprastas 5 2 6 2 2 2 3 2" xfId="5433" xr:uid="{3A6DB551-2490-4603-BCB7-90C5F3371112}"/>
    <cellStyle name="Įprastas 5 2 6 2 2 2 3_8 priedas" xfId="9258" xr:uid="{B1D653A9-5DB5-42F8-A1EA-F488AA52DEE8}"/>
    <cellStyle name="Įprastas 5 2 6 2 2 2 4" xfId="7161" xr:uid="{23EE5877-AEDD-42D2-A95B-AEB7CA4AF038}"/>
    <cellStyle name="Įprastas 5 2 6 2 2 2 5" xfId="3705" xr:uid="{F7514114-6CBA-49AE-8F22-BC4EFF3C73BC}"/>
    <cellStyle name="Įprastas 5 2 6 2 2 2_8 priedas" xfId="9256" xr:uid="{02113227-E970-4B86-A6E5-450E2F339623}"/>
    <cellStyle name="Įprastas 5 2 6 2 2 3" xfId="1734" xr:uid="{6E970EE4-B6A3-4728-B3CD-5E3F3FAF0562}"/>
    <cellStyle name="Įprastas 5 2 6 2 2 3 2" xfId="5858" xr:uid="{0DE1D8BB-EFBA-4B84-AD51-7873B48929B2}"/>
    <cellStyle name="Įprastas 5 2 6 2 2 3 3" xfId="7586" xr:uid="{950D4924-887F-456B-9BD6-57F2B022468C}"/>
    <cellStyle name="Įprastas 5 2 6 2 2 3 4" xfId="4130" xr:uid="{74BC8971-A711-4429-97B0-582138C2D258}"/>
    <cellStyle name="Įprastas 5 2 6 2 2 3_8 priedas" xfId="9259" xr:uid="{5B5007A4-AF73-41A6-9361-25F1A9D04296}"/>
    <cellStyle name="Įprastas 5 2 6 2 2 4" xfId="2401" xr:uid="{8C91F3E0-49E8-49F5-9859-7F7EF30F3F18}"/>
    <cellStyle name="Įprastas 5 2 6 2 2 4 2" xfId="4994" xr:uid="{CD518B72-1DE0-44A9-9968-9ABE180057FD}"/>
    <cellStyle name="Įprastas 5 2 6 2 2 4_8 priedas" xfId="9260" xr:uid="{DE7F8928-7EA5-4F95-9B90-CD756CC8534A}"/>
    <cellStyle name="Įprastas 5 2 6 2 2 5" xfId="6722" xr:uid="{BC5D440A-65EF-428D-871A-860DD52C7BF9}"/>
    <cellStyle name="Įprastas 5 2 6 2 2 6" xfId="3266" xr:uid="{FDB64200-F9F3-47B5-8C51-B48E6F5272F8}"/>
    <cellStyle name="Įprastas 5 2 6 2 2_8 priedas" xfId="1221" xr:uid="{00000000-0005-0000-0000-00006E020000}"/>
    <cellStyle name="Įprastas 5 2 6 2 3" xfId="236" xr:uid="{00000000-0005-0000-0000-00006F020000}"/>
    <cellStyle name="Įprastas 5 2 6 2 3 2" xfId="836" xr:uid="{00000000-0005-0000-0000-000070020000}"/>
    <cellStyle name="Įprastas 5 2 6 2 3 2 2" xfId="1735" xr:uid="{0F61A75C-39A3-47D0-9DE4-E428585B5F3C}"/>
    <cellStyle name="Įprastas 5 2 6 2 3 2 2 2" xfId="6441" xr:uid="{F6C7B44A-9C4B-4BA8-96D2-2EB79FA41C7C}"/>
    <cellStyle name="Įprastas 5 2 6 2 3 2 2 3" xfId="8169" xr:uid="{C010A7BB-9AAD-4C8C-B41B-0A3CB8B33206}"/>
    <cellStyle name="Įprastas 5 2 6 2 3 2 2 4" xfId="4713" xr:uid="{D2EAAF77-DE22-4659-B4F4-A02FC2CEF9D0}"/>
    <cellStyle name="Įprastas 5 2 6 2 3 2 2_8 priedas" xfId="9262" xr:uid="{2C675864-F76E-46D7-B3BD-A79021013616}"/>
    <cellStyle name="Įprastas 5 2 6 2 3 2 3" xfId="2984" xr:uid="{F00E2E8B-1943-4F6D-9FB1-78E8B3CC487A}"/>
    <cellStyle name="Įprastas 5 2 6 2 3 2 3 2" xfId="5577" xr:uid="{FA1D984F-573E-4202-AEBF-8F7D8907CD74}"/>
    <cellStyle name="Įprastas 5 2 6 2 3 2 3_8 priedas" xfId="9263" xr:uid="{5A84500C-8D71-4D08-8115-C9D8B24AB618}"/>
    <cellStyle name="Įprastas 5 2 6 2 3 2 4" xfId="7305" xr:uid="{10BC7D21-6B00-4411-9C50-C6352E1FD808}"/>
    <cellStyle name="Įprastas 5 2 6 2 3 2 5" xfId="3849" xr:uid="{13B67780-0985-4E54-ACA5-FD1F669B31F9}"/>
    <cellStyle name="Įprastas 5 2 6 2 3 2_8 priedas" xfId="9261" xr:uid="{0FA4B680-83CA-415F-BA74-168C9B2EFC7F}"/>
    <cellStyle name="Įprastas 5 2 6 2 3 3" xfId="1736" xr:uid="{04CF6D9A-2D78-45F1-B446-3C5027AEDF3C}"/>
    <cellStyle name="Įprastas 5 2 6 2 3 3 2" xfId="5859" xr:uid="{34E4B334-0EB2-4B88-AD05-FE6EB77E89FC}"/>
    <cellStyle name="Įprastas 5 2 6 2 3 3 3" xfId="7587" xr:uid="{25832D76-04BF-4412-A829-4F81E493715B}"/>
    <cellStyle name="Įprastas 5 2 6 2 3 3 4" xfId="4131" xr:uid="{6D296EAF-EAB7-44EF-88D3-AC1A070DCCEC}"/>
    <cellStyle name="Įprastas 5 2 6 2 3 3_8 priedas" xfId="9264" xr:uid="{4ADD7496-6A7E-41C7-B092-99F7E93B8884}"/>
    <cellStyle name="Įprastas 5 2 6 2 3 4" xfId="2402" xr:uid="{CC495D59-9D1F-421F-9A06-6301D9EE7AF5}"/>
    <cellStyle name="Įprastas 5 2 6 2 3 4 2" xfId="4995" xr:uid="{9B1D1A1E-D324-4DE3-89E8-FEE832BBC946}"/>
    <cellStyle name="Įprastas 5 2 6 2 3 4_8 priedas" xfId="9265" xr:uid="{EEAB09EE-6475-4030-832B-E015723CF17F}"/>
    <cellStyle name="Įprastas 5 2 6 2 3 5" xfId="6723" xr:uid="{5F53AB60-4399-465A-BBFD-5A8C7C327FF1}"/>
    <cellStyle name="Įprastas 5 2 6 2 3 6" xfId="3267" xr:uid="{CAF7612E-0F10-4454-AE91-D7CB9C58023C}"/>
    <cellStyle name="Įprastas 5 2 6 2 3_8 priedas" xfId="1087" xr:uid="{00000000-0005-0000-0000-000071020000}"/>
    <cellStyle name="Įprastas 5 2 6 2 4" xfId="548" xr:uid="{00000000-0005-0000-0000-000072020000}"/>
    <cellStyle name="Įprastas 5 2 6 2 4 2" xfId="1737" xr:uid="{E50B0F9F-1CFE-4A3B-9B41-77380B16C00D}"/>
    <cellStyle name="Įprastas 5 2 6 2 4 2 2" xfId="6153" xr:uid="{90BBE140-58D4-4E31-80A4-D930B2FDA948}"/>
    <cellStyle name="Įprastas 5 2 6 2 4 2 3" xfId="7881" xr:uid="{A971ADE7-7EAC-4498-9EEA-F4B368C81882}"/>
    <cellStyle name="Įprastas 5 2 6 2 4 2 4" xfId="4425" xr:uid="{01030BAB-D54C-4D23-9024-61146C66916F}"/>
    <cellStyle name="Įprastas 5 2 6 2 4 2_8 priedas" xfId="9267" xr:uid="{CF55B72C-69E5-4F52-8901-D77A9127F864}"/>
    <cellStyle name="Įprastas 5 2 6 2 4 3" xfId="2696" xr:uid="{C0140376-AE82-40A0-9918-1351243CBF49}"/>
    <cellStyle name="Įprastas 5 2 6 2 4 3 2" xfId="5289" xr:uid="{AFD084BD-787B-4DCD-A925-7B7185ED54D2}"/>
    <cellStyle name="Įprastas 5 2 6 2 4 3_8 priedas" xfId="9268" xr:uid="{E828A500-5D2C-4B1B-A825-51BF0690CF11}"/>
    <cellStyle name="Įprastas 5 2 6 2 4 4" xfId="7017" xr:uid="{58A13ED8-5831-431C-A22F-3848713F3720}"/>
    <cellStyle name="Įprastas 5 2 6 2 4 5" xfId="3561" xr:uid="{29AD76C5-878B-4C8F-AD4D-7D06C0B8709C}"/>
    <cellStyle name="Įprastas 5 2 6 2 4_8 priedas" xfId="9266" xr:uid="{A9CDFF05-1D52-4AA4-B8BE-CDCBA11E2E98}"/>
    <cellStyle name="Įprastas 5 2 6 2 5" xfId="1738" xr:uid="{75C3AF97-28A5-4D48-8723-656A31A529CB}"/>
    <cellStyle name="Įprastas 5 2 6 2 5 2" xfId="5857" xr:uid="{F669A16E-82A6-4B4E-B70E-33A098F56703}"/>
    <cellStyle name="Įprastas 5 2 6 2 5 3" xfId="7585" xr:uid="{CA7733E8-B1D1-4EDB-B260-C0A496472BB8}"/>
    <cellStyle name="Įprastas 5 2 6 2 5 4" xfId="4129" xr:uid="{C0320C6E-83C1-47F6-8698-53D62AE65A82}"/>
    <cellStyle name="Įprastas 5 2 6 2 5_8 priedas" xfId="9269" xr:uid="{342FCA48-4F4C-4A8B-AAC6-80E703AE5FD0}"/>
    <cellStyle name="Įprastas 5 2 6 2 6" xfId="2400" xr:uid="{16634EAC-79A5-4DE3-BD74-F4619ADBA849}"/>
    <cellStyle name="Įprastas 5 2 6 2 6 2" xfId="4993" xr:uid="{11C98E88-4D70-4780-94A4-482B55717024}"/>
    <cellStyle name="Įprastas 5 2 6 2 6_8 priedas" xfId="9270" xr:uid="{685552FB-EF97-46B5-BF3D-1D1285FB4A42}"/>
    <cellStyle name="Įprastas 5 2 6 2 7" xfId="6721" xr:uid="{85374D75-B8BE-449B-B371-051B43FDA03B}"/>
    <cellStyle name="Įprastas 5 2 6 2 8" xfId="3265" xr:uid="{75F5843B-6CFA-48FA-89F6-65F98F1FD587}"/>
    <cellStyle name="Įprastas 5 2 6 2_8 priedas" xfId="975" xr:uid="{00000000-0005-0000-0000-000073020000}"/>
    <cellStyle name="Įprastas 5 2 6 3" xfId="237" xr:uid="{00000000-0005-0000-0000-000074020000}"/>
    <cellStyle name="Įprastas 5 2 6 3 2" xfId="238" xr:uid="{00000000-0005-0000-0000-000075020000}"/>
    <cellStyle name="Įprastas 5 2 6 3 2 2" xfId="740" xr:uid="{00000000-0005-0000-0000-000076020000}"/>
    <cellStyle name="Įprastas 5 2 6 3 2 2 2" xfId="1739" xr:uid="{13978AE6-2CFC-429B-845D-965AC72FF460}"/>
    <cellStyle name="Įprastas 5 2 6 3 2 2 2 2" xfId="6345" xr:uid="{CD80CC5D-8F4A-4C2C-83D7-ACC970E7AB0F}"/>
    <cellStyle name="Įprastas 5 2 6 3 2 2 2 3" xfId="8073" xr:uid="{4FD72CC5-2494-41EB-B4CB-C624183C2FB7}"/>
    <cellStyle name="Įprastas 5 2 6 3 2 2 2 4" xfId="4617" xr:uid="{40F91C7E-5A82-4F54-8AB4-4409C81740A0}"/>
    <cellStyle name="Įprastas 5 2 6 3 2 2 2_8 priedas" xfId="9272" xr:uid="{E8E056A8-C7CC-4F03-B82A-2CBC56A6B53B}"/>
    <cellStyle name="Įprastas 5 2 6 3 2 2 3" xfId="2888" xr:uid="{2C36B60E-B2C5-48FD-A564-13DB9E81C612}"/>
    <cellStyle name="Įprastas 5 2 6 3 2 2 3 2" xfId="5481" xr:uid="{80F3096D-3298-4BC9-BD8F-C11382038817}"/>
    <cellStyle name="Įprastas 5 2 6 3 2 2 3_8 priedas" xfId="9273" xr:uid="{27AC34BD-5B57-44CE-B963-21CAF8F5771C}"/>
    <cellStyle name="Įprastas 5 2 6 3 2 2 4" xfId="7209" xr:uid="{F12BE578-A51C-433F-AFE8-269DBBAF1A08}"/>
    <cellStyle name="Įprastas 5 2 6 3 2 2 5" xfId="3753" xr:uid="{24AF1882-DA2C-4C39-B6BF-CDCB2BB7F4CC}"/>
    <cellStyle name="Įprastas 5 2 6 3 2 2_8 priedas" xfId="9271" xr:uid="{0AF2C757-0832-4E30-906A-5A2AAA5991C6}"/>
    <cellStyle name="Įprastas 5 2 6 3 2 3" xfId="1740" xr:uid="{79B8445C-A337-484A-927A-2D87E4B481EB}"/>
    <cellStyle name="Įprastas 5 2 6 3 2 3 2" xfId="5861" xr:uid="{DF0A4970-41C5-439E-8186-9CA3FA237E29}"/>
    <cellStyle name="Įprastas 5 2 6 3 2 3 3" xfId="7589" xr:uid="{8B3697CE-DF30-40A2-9BEF-AF2982EBE4E6}"/>
    <cellStyle name="Įprastas 5 2 6 3 2 3 4" xfId="4133" xr:uid="{85D313E6-1B0B-4766-A374-CC2819EF8C7B}"/>
    <cellStyle name="Įprastas 5 2 6 3 2 3_8 priedas" xfId="9274" xr:uid="{9D9FD7CF-A195-4E1C-A11E-3E67A2A04A92}"/>
    <cellStyle name="Įprastas 5 2 6 3 2 4" xfId="2404" xr:uid="{334CD6D4-12C7-46BC-8FB2-9EAD242070B0}"/>
    <cellStyle name="Įprastas 5 2 6 3 2 4 2" xfId="4997" xr:uid="{89442A85-C198-496C-B51C-6900A0AC4956}"/>
    <cellStyle name="Įprastas 5 2 6 3 2 4_8 priedas" xfId="9275" xr:uid="{47795A30-12D8-4C3A-9A09-4BDA0202E771}"/>
    <cellStyle name="Įprastas 5 2 6 3 2 5" xfId="6725" xr:uid="{BE5E6B27-9CE2-4EEC-AF13-54ACECC31815}"/>
    <cellStyle name="Įprastas 5 2 6 3 2 6" xfId="3269" xr:uid="{D082ADDC-E3C5-4043-8117-2F63B0756BA8}"/>
    <cellStyle name="Įprastas 5 2 6 3 2_8 priedas" xfId="1175" xr:uid="{00000000-0005-0000-0000-000077020000}"/>
    <cellStyle name="Įprastas 5 2 6 3 3" xfId="239" xr:uid="{00000000-0005-0000-0000-000078020000}"/>
    <cellStyle name="Įprastas 5 2 6 3 3 2" xfId="884" xr:uid="{00000000-0005-0000-0000-000079020000}"/>
    <cellStyle name="Įprastas 5 2 6 3 3 2 2" xfId="1741" xr:uid="{F879D5B5-6274-40AE-A871-4BDD61ED3577}"/>
    <cellStyle name="Įprastas 5 2 6 3 3 2 2 2" xfId="6489" xr:uid="{50A31A3D-87AF-4E4D-8D16-6ECAA8928E57}"/>
    <cellStyle name="Įprastas 5 2 6 3 3 2 2 3" xfId="8217" xr:uid="{02D8BDE0-0126-4D7D-A143-D98AA45A6C5B}"/>
    <cellStyle name="Įprastas 5 2 6 3 3 2 2 4" xfId="4761" xr:uid="{0A14EA3B-6408-4610-A48C-D108CD7C74BF}"/>
    <cellStyle name="Įprastas 5 2 6 3 3 2 2_8 priedas" xfId="9277" xr:uid="{670EBD56-660C-4356-88F9-3EE1748A8D17}"/>
    <cellStyle name="Įprastas 5 2 6 3 3 2 3" xfId="3032" xr:uid="{62642FD4-35A5-4C1B-BF19-53C1EE28F62B}"/>
    <cellStyle name="Įprastas 5 2 6 3 3 2 3 2" xfId="5625" xr:uid="{1AED7624-1105-4D15-8A72-4E834007C4B8}"/>
    <cellStyle name="Įprastas 5 2 6 3 3 2 3_8 priedas" xfId="9278" xr:uid="{0654B47D-2858-42F0-99CA-19013842D305}"/>
    <cellStyle name="Įprastas 5 2 6 3 3 2 4" xfId="7353" xr:uid="{3F819458-0B00-4152-838E-ED7CE42D41D3}"/>
    <cellStyle name="Įprastas 5 2 6 3 3 2 5" xfId="3897" xr:uid="{BA03C593-D7A9-4F79-8385-7E7D2FAD6C21}"/>
    <cellStyle name="Įprastas 5 2 6 3 3 2_8 priedas" xfId="9276" xr:uid="{E4C9B2C1-D97B-4EE0-AB3D-09BF61C13513}"/>
    <cellStyle name="Įprastas 5 2 6 3 3 3" xfId="1742" xr:uid="{9BA64FD5-7864-4F9D-B52B-AD5C322B0B47}"/>
    <cellStyle name="Įprastas 5 2 6 3 3 3 2" xfId="5862" xr:uid="{83C5890A-C806-4A3C-B9D9-FDD82AB0D19E}"/>
    <cellStyle name="Įprastas 5 2 6 3 3 3 3" xfId="7590" xr:uid="{5E762FF6-688C-48B8-975F-2EDD399E0ADB}"/>
    <cellStyle name="Įprastas 5 2 6 3 3 3 4" xfId="4134" xr:uid="{DF8E343B-75EB-4D15-B5FF-24378577F28E}"/>
    <cellStyle name="Įprastas 5 2 6 3 3 3_8 priedas" xfId="9279" xr:uid="{D404D437-0E72-4F07-B545-582FAA952262}"/>
    <cellStyle name="Įprastas 5 2 6 3 3 4" xfId="2405" xr:uid="{4D018DBF-A985-4EEF-9911-549E03E1ED81}"/>
    <cellStyle name="Įprastas 5 2 6 3 3 4 2" xfId="4998" xr:uid="{1F5920BC-372B-4972-93E5-0F818102E4FC}"/>
    <cellStyle name="Įprastas 5 2 6 3 3 4_8 priedas" xfId="9280" xr:uid="{C5D869C4-38F8-45E1-A489-E58E3D2C50A0}"/>
    <cellStyle name="Įprastas 5 2 6 3 3 5" xfId="6726" xr:uid="{C3A8B591-4F04-4435-863C-9C439EB48781}"/>
    <cellStyle name="Įprastas 5 2 6 3 3 6" xfId="3270" xr:uid="{4D614A1A-3BF7-4F2C-8EBD-53C98616D150}"/>
    <cellStyle name="Įprastas 5 2 6 3 3_8 priedas" xfId="1039" xr:uid="{00000000-0005-0000-0000-00007A020000}"/>
    <cellStyle name="Įprastas 5 2 6 3 4" xfId="596" xr:uid="{00000000-0005-0000-0000-00007B020000}"/>
    <cellStyle name="Įprastas 5 2 6 3 4 2" xfId="1743" xr:uid="{8DF8E192-8D9D-4E37-945E-FC70ED639E59}"/>
    <cellStyle name="Įprastas 5 2 6 3 4 2 2" xfId="6201" xr:uid="{55B4886E-AE3D-47A1-95F6-66AF736C82E1}"/>
    <cellStyle name="Įprastas 5 2 6 3 4 2 3" xfId="7929" xr:uid="{0915710A-1C12-4241-96D1-BDFBA20C57F7}"/>
    <cellStyle name="Įprastas 5 2 6 3 4 2 4" xfId="4473" xr:uid="{597A163F-B2A9-45CC-8C04-5074D0909082}"/>
    <cellStyle name="Įprastas 5 2 6 3 4 2_8 priedas" xfId="9282" xr:uid="{F2871AD6-6BCE-4AA7-B970-3E7FEF9E6E76}"/>
    <cellStyle name="Įprastas 5 2 6 3 4 3" xfId="2744" xr:uid="{CAECE482-BDF1-44AB-9C75-0163C920178A}"/>
    <cellStyle name="Įprastas 5 2 6 3 4 3 2" xfId="5337" xr:uid="{4BCAF9C0-0299-42C2-A7D0-FA575F41EAE5}"/>
    <cellStyle name="Įprastas 5 2 6 3 4 3_8 priedas" xfId="9283" xr:uid="{F1078F12-52B5-40AB-B6B2-058F75F469A1}"/>
    <cellStyle name="Įprastas 5 2 6 3 4 4" xfId="7065" xr:uid="{4BC4D1BC-BCA8-4A6B-9E03-54832C36F838}"/>
    <cellStyle name="Įprastas 5 2 6 3 4 5" xfId="3609" xr:uid="{B701790C-D93D-407B-87F7-1EF0688508D7}"/>
    <cellStyle name="Įprastas 5 2 6 3 4_8 priedas" xfId="9281" xr:uid="{3094E1D1-86B2-40A1-B051-BB2C446E4FA0}"/>
    <cellStyle name="Įprastas 5 2 6 3 5" xfId="1744" xr:uid="{8F6AF83B-A33C-4F72-9356-17A68AA88140}"/>
    <cellStyle name="Įprastas 5 2 6 3 5 2" xfId="5860" xr:uid="{BFA132C3-50C5-4726-B710-8307567C5D84}"/>
    <cellStyle name="Įprastas 5 2 6 3 5 3" xfId="7588" xr:uid="{AFAC58CC-965D-46F9-B8D1-A8DB94407143}"/>
    <cellStyle name="Įprastas 5 2 6 3 5 4" xfId="4132" xr:uid="{57557123-FBC7-4D76-A6D1-B48861B299EA}"/>
    <cellStyle name="Įprastas 5 2 6 3 5_8 priedas" xfId="9284" xr:uid="{2CE7093F-296E-43E0-B323-2AED55447B11}"/>
    <cellStyle name="Įprastas 5 2 6 3 6" xfId="2403" xr:uid="{08ECBA88-95C9-4B9B-8256-22A651000D47}"/>
    <cellStyle name="Įprastas 5 2 6 3 6 2" xfId="4996" xr:uid="{E0061488-31E9-4190-95D4-2CD526C5C965}"/>
    <cellStyle name="Įprastas 5 2 6 3 6_8 priedas" xfId="9285" xr:uid="{7F801059-C443-4E25-863D-F7FC358332F4}"/>
    <cellStyle name="Įprastas 5 2 6 3 7" xfId="6724" xr:uid="{ACBAE30B-E513-4FD9-BACC-144AB7E71C6C}"/>
    <cellStyle name="Įprastas 5 2 6 3 8" xfId="3268" xr:uid="{05675E84-ECC5-4B29-81A1-820E5EF967BC}"/>
    <cellStyle name="Įprastas 5 2 6 3_8 priedas" xfId="1312" xr:uid="{00000000-0005-0000-0000-00007C020000}"/>
    <cellStyle name="Įprastas 5 2 6 4" xfId="240" xr:uid="{00000000-0005-0000-0000-00007D020000}"/>
    <cellStyle name="Įprastas 5 2 6 4 2" xfId="644" xr:uid="{00000000-0005-0000-0000-00007E020000}"/>
    <cellStyle name="Įprastas 5 2 6 4 2 2" xfId="1745" xr:uid="{B8177FDE-0C1D-4D4D-ABA0-44027C0D4C68}"/>
    <cellStyle name="Įprastas 5 2 6 4 2 2 2" xfId="6249" xr:uid="{AC405050-6E9D-46B4-B124-C0AE22CADF9F}"/>
    <cellStyle name="Įprastas 5 2 6 4 2 2 3" xfId="7977" xr:uid="{9E5A4C9F-F963-4E69-9BCB-7E11ADF74CB3}"/>
    <cellStyle name="Įprastas 5 2 6 4 2 2 4" xfId="4521" xr:uid="{C05E653A-725C-42D1-8C47-0F8AA614A78A}"/>
    <cellStyle name="Įprastas 5 2 6 4 2 2_8 priedas" xfId="9287" xr:uid="{00B7492C-F0CD-4BF5-B604-3B9D5C86C7FA}"/>
    <cellStyle name="Įprastas 5 2 6 4 2 3" xfId="2792" xr:uid="{74307D6B-73EB-47DE-B428-CEE635C8D672}"/>
    <cellStyle name="Įprastas 5 2 6 4 2 3 2" xfId="5385" xr:uid="{F67BF4F6-4C1D-4A86-9843-8E40C4099342}"/>
    <cellStyle name="Įprastas 5 2 6 4 2 3_8 priedas" xfId="9288" xr:uid="{D12E42F1-D8C9-46DC-9BD8-4CB48E9ED481}"/>
    <cellStyle name="Įprastas 5 2 6 4 2 4" xfId="7113" xr:uid="{A2506D4F-EE40-4633-9C94-2DAF80FD9D8A}"/>
    <cellStyle name="Įprastas 5 2 6 4 2 5" xfId="3657" xr:uid="{69B75912-0E5D-4A65-9203-931FB87AD3FF}"/>
    <cellStyle name="Įprastas 5 2 6 4 2_8 priedas" xfId="9286" xr:uid="{E0E13D62-000F-41A7-B60F-E83BFF3A7CD7}"/>
    <cellStyle name="Įprastas 5 2 6 4 3" xfId="1746" xr:uid="{F05D1EBC-5483-467B-92BF-BC375B5BB088}"/>
    <cellStyle name="Įprastas 5 2 6 4 3 2" xfId="5863" xr:uid="{D9F47489-E21E-4EB2-946A-DE3D8AC884FF}"/>
    <cellStyle name="Įprastas 5 2 6 4 3 3" xfId="7591" xr:uid="{6F4B0452-8801-4AD9-AFF1-430601519B2B}"/>
    <cellStyle name="Įprastas 5 2 6 4 3 4" xfId="4135" xr:uid="{CA6965D2-B8B2-424E-BCB4-9C140689E6BC}"/>
    <cellStyle name="Įprastas 5 2 6 4 3_8 priedas" xfId="9289" xr:uid="{C92439C8-F030-491F-AF6A-75C6314386F2}"/>
    <cellStyle name="Įprastas 5 2 6 4 4" xfId="2406" xr:uid="{42A6523F-736E-4A9D-985A-7783390EC974}"/>
    <cellStyle name="Įprastas 5 2 6 4 4 2" xfId="4999" xr:uid="{F07DB56D-8646-412E-9AD5-CD0B76733433}"/>
    <cellStyle name="Įprastas 5 2 6 4 4_8 priedas" xfId="9290" xr:uid="{8CAF1267-ED78-4C7C-BB68-61AD9DAD9384}"/>
    <cellStyle name="Įprastas 5 2 6 4 5" xfId="6727" xr:uid="{88600392-7525-48FD-AF73-9FB6806027B7}"/>
    <cellStyle name="Įprastas 5 2 6 4 6" xfId="3271" xr:uid="{41E88F1D-360B-416D-BC53-78AC679D078E}"/>
    <cellStyle name="Įprastas 5 2 6 4_8 priedas" xfId="1263" xr:uid="{00000000-0005-0000-0000-00007F020000}"/>
    <cellStyle name="Įprastas 5 2 6 5" xfId="241" xr:uid="{00000000-0005-0000-0000-000080020000}"/>
    <cellStyle name="Įprastas 5 2 6 5 2" xfId="788" xr:uid="{00000000-0005-0000-0000-000081020000}"/>
    <cellStyle name="Įprastas 5 2 6 5 2 2" xfId="1747" xr:uid="{B1121341-CF7F-4132-A736-254D78F9F34E}"/>
    <cellStyle name="Įprastas 5 2 6 5 2 2 2" xfId="6393" xr:uid="{A3C7FBD7-32DF-4965-A66B-6FEAC0B05C3A}"/>
    <cellStyle name="Įprastas 5 2 6 5 2 2 3" xfId="8121" xr:uid="{40F8AD4D-531B-49C9-A843-855F7037FFB2}"/>
    <cellStyle name="Įprastas 5 2 6 5 2 2 4" xfId="4665" xr:uid="{1EC5313B-C392-4ED3-BD7B-F5C7A77CE719}"/>
    <cellStyle name="Įprastas 5 2 6 5 2 2_8 priedas" xfId="9292" xr:uid="{0F890A86-3EDA-44ED-8AB9-BEDB169F1FBC}"/>
    <cellStyle name="Įprastas 5 2 6 5 2 3" xfId="2936" xr:uid="{956D862F-2407-4AEC-8AB6-A60782A6C6F5}"/>
    <cellStyle name="Įprastas 5 2 6 5 2 3 2" xfId="5529" xr:uid="{762FB0B2-2C24-453B-B96F-E7AE0343AE91}"/>
    <cellStyle name="Įprastas 5 2 6 5 2 3_8 priedas" xfId="9293" xr:uid="{8D81936B-3789-47E7-BE86-6167A71CF0A2}"/>
    <cellStyle name="Įprastas 5 2 6 5 2 4" xfId="7257" xr:uid="{A9E2D487-BABF-4874-9AD9-B978C5A64DB3}"/>
    <cellStyle name="Įprastas 5 2 6 5 2 5" xfId="3801" xr:uid="{1C8F775B-AD0A-4922-909D-7C4663F818FF}"/>
    <cellStyle name="Įprastas 5 2 6 5 2_8 priedas" xfId="9291" xr:uid="{6A7C89C7-B1C6-4336-9395-DAA3645D18BF}"/>
    <cellStyle name="Įprastas 5 2 6 5 3" xfId="1748" xr:uid="{A12B0F41-D882-4056-9F9B-64BEE319AFE0}"/>
    <cellStyle name="Įprastas 5 2 6 5 3 2" xfId="5864" xr:uid="{6F7A225B-C9FD-41E9-B59E-B2D079686BA4}"/>
    <cellStyle name="Įprastas 5 2 6 5 3 3" xfId="7592" xr:uid="{0CDC3422-5978-4F8D-AE7D-69602E822B13}"/>
    <cellStyle name="Įprastas 5 2 6 5 3 4" xfId="4136" xr:uid="{936EF4CD-F8F1-42F1-A940-B91FC0562A49}"/>
    <cellStyle name="Įprastas 5 2 6 5 3_8 priedas" xfId="9294" xr:uid="{8FFC697E-BCEC-4B88-AE78-F7BA8C7E9E3F}"/>
    <cellStyle name="Įprastas 5 2 6 5 4" xfId="2407" xr:uid="{2ED97A78-EE6E-4773-B167-3B32FA1F90C2}"/>
    <cellStyle name="Įprastas 5 2 6 5 4 2" xfId="5000" xr:uid="{789B5241-9B75-41E7-B904-924709C35509}"/>
    <cellStyle name="Įprastas 5 2 6 5 4_8 priedas" xfId="9295" xr:uid="{CBEE19C4-8A33-4F45-AADA-27B34369E86E}"/>
    <cellStyle name="Įprastas 5 2 6 5 5" xfId="6728" xr:uid="{589143CA-15F5-421F-8100-E4E08E0D1502}"/>
    <cellStyle name="Įprastas 5 2 6 5 6" xfId="3272" xr:uid="{D6722AD3-F607-4E29-9665-BE3F2EF97B5E}"/>
    <cellStyle name="Įprastas 5 2 6 5_8 priedas" xfId="1127" xr:uid="{00000000-0005-0000-0000-000082020000}"/>
    <cellStyle name="Įprastas 5 2 6 6" xfId="500" xr:uid="{00000000-0005-0000-0000-000083020000}"/>
    <cellStyle name="Įprastas 5 2 6 6 2" xfId="1749" xr:uid="{BECD8797-E23E-440B-8C79-F0AA7E5C20A0}"/>
    <cellStyle name="Įprastas 5 2 6 6 2 2" xfId="6105" xr:uid="{7275A2B6-B339-48FB-8E89-805C85E46D76}"/>
    <cellStyle name="Įprastas 5 2 6 6 2 3" xfId="7833" xr:uid="{6F5C6D11-3EE4-4B98-92FF-860D7C6B784D}"/>
    <cellStyle name="Įprastas 5 2 6 6 2 4" xfId="4377" xr:uid="{C9128D17-6772-422E-88FC-9CB90E3A5A3B}"/>
    <cellStyle name="Įprastas 5 2 6 6 2_8 priedas" xfId="9297" xr:uid="{4DD53498-C7A4-4319-B5B7-0400B278D7EB}"/>
    <cellStyle name="Įprastas 5 2 6 6 3" xfId="2648" xr:uid="{5C6E6FB4-19F7-4C9D-9A06-1D50F7113C85}"/>
    <cellStyle name="Įprastas 5 2 6 6 3 2" xfId="5241" xr:uid="{283C7E86-B228-425D-9261-C0BDB68CD13D}"/>
    <cellStyle name="Įprastas 5 2 6 6 3_8 priedas" xfId="9298" xr:uid="{3E5DDFD0-CC49-4535-9F7E-A24291890D3E}"/>
    <cellStyle name="Įprastas 5 2 6 6 4" xfId="6969" xr:uid="{8FA2E792-150D-442C-BBB0-D355BA376106}"/>
    <cellStyle name="Įprastas 5 2 6 6 5" xfId="3513" xr:uid="{4AF49C73-73A2-4B3A-817A-3CC489AAF8FC}"/>
    <cellStyle name="Įprastas 5 2 6 6_8 priedas" xfId="9296" xr:uid="{E3DEF7EF-2A1C-408E-8676-2096D9540987}"/>
    <cellStyle name="Įprastas 5 2 6 7" xfId="1750" xr:uid="{E3CD440E-4322-4D34-B7A8-1BD555A26241}"/>
    <cellStyle name="Įprastas 5 2 6 7 2" xfId="5856" xr:uid="{E001AC77-DE58-4F99-9D02-625D3CA1B78C}"/>
    <cellStyle name="Įprastas 5 2 6 7 3" xfId="7584" xr:uid="{7D2F6D84-C7D8-4C02-8705-70324C4C33E0}"/>
    <cellStyle name="Įprastas 5 2 6 7 4" xfId="4128" xr:uid="{1E664471-68FE-4122-B829-E95B97116C31}"/>
    <cellStyle name="Įprastas 5 2 6 7_8 priedas" xfId="9299" xr:uid="{845276FD-A306-4DED-BDAE-DCAB8553BE52}"/>
    <cellStyle name="Įprastas 5 2 6 8" xfId="2399" xr:uid="{A4F0EE6E-C3E3-4470-9B68-FC78FE1F26B0}"/>
    <cellStyle name="Įprastas 5 2 6 8 2" xfId="4992" xr:uid="{57A79B2D-16F8-42AB-9AEE-B56BEF540D61}"/>
    <cellStyle name="Įprastas 5 2 6 8_8 priedas" xfId="9300" xr:uid="{0726DA07-E42F-4938-BDD6-B734269546DA}"/>
    <cellStyle name="Įprastas 5 2 6 9" xfId="6720" xr:uid="{9A50CA85-702C-4DE4-BB65-A836EF696A78}"/>
    <cellStyle name="Įprastas 5 2 6_8 priedas" xfId="1111" xr:uid="{00000000-0005-0000-0000-000084020000}"/>
    <cellStyle name="Įprastas 5 2 7" xfId="242" xr:uid="{00000000-0005-0000-0000-000085020000}"/>
    <cellStyle name="Įprastas 5 2 7 2" xfId="243" xr:uid="{00000000-0005-0000-0000-000086020000}"/>
    <cellStyle name="Įprastas 5 2 7 2 2" xfId="668" xr:uid="{00000000-0005-0000-0000-000087020000}"/>
    <cellStyle name="Įprastas 5 2 7 2 2 2" xfId="1751" xr:uid="{CA14C24F-209F-4AB5-AEFA-F3DC061EF7FD}"/>
    <cellStyle name="Įprastas 5 2 7 2 2 2 2" xfId="6273" xr:uid="{E68724A7-C4CC-4655-B56F-26E37063BCD3}"/>
    <cellStyle name="Įprastas 5 2 7 2 2 2 3" xfId="8001" xr:uid="{92312432-F792-4E60-8A31-043AADEB4E15}"/>
    <cellStyle name="Įprastas 5 2 7 2 2 2 4" xfId="4545" xr:uid="{1395C321-0D8D-4272-BA6C-C4BA71B1690C}"/>
    <cellStyle name="Įprastas 5 2 7 2 2 2_8 priedas" xfId="9302" xr:uid="{09AD7B75-5F53-490B-87A2-03625C49F263}"/>
    <cellStyle name="Įprastas 5 2 7 2 2 3" xfId="2816" xr:uid="{85617820-D35A-4561-8D5E-44DCD9C5B4B4}"/>
    <cellStyle name="Įprastas 5 2 7 2 2 3 2" xfId="5409" xr:uid="{CB548368-A2FE-4A16-B20E-F116D62E893B}"/>
    <cellStyle name="Įprastas 5 2 7 2 2 3_8 priedas" xfId="9303" xr:uid="{146B73C6-FE94-4166-81B1-FCC77FB5C1D5}"/>
    <cellStyle name="Įprastas 5 2 7 2 2 4" xfId="7137" xr:uid="{58948E45-75DA-4503-A632-4D6FF2D34B4D}"/>
    <cellStyle name="Įprastas 5 2 7 2 2 5" xfId="3681" xr:uid="{48002780-4BCB-4FAC-8015-4B3F0F01F153}"/>
    <cellStyle name="Įprastas 5 2 7 2 2_8 priedas" xfId="9301" xr:uid="{3B39C66D-CA66-4E80-97CE-8B23EA0A4DE1}"/>
    <cellStyle name="Įprastas 5 2 7 2 3" xfId="1752" xr:uid="{9388BAE6-7C62-4E0D-AAC9-BC9914F7A96D}"/>
    <cellStyle name="Įprastas 5 2 7 2 3 2" xfId="5866" xr:uid="{781BF4EF-039B-4AE1-BD93-25CE9AD376C8}"/>
    <cellStyle name="Įprastas 5 2 7 2 3 3" xfId="7594" xr:uid="{541807C9-5279-4DA4-9073-483EC860D6FD}"/>
    <cellStyle name="Įprastas 5 2 7 2 3 4" xfId="4138" xr:uid="{18AB76DF-5ABB-466D-A2F3-285BDFAF66B9}"/>
    <cellStyle name="Įprastas 5 2 7 2 3_8 priedas" xfId="9304" xr:uid="{30AB7844-5E44-4195-B633-CFCC88C9E108}"/>
    <cellStyle name="Įprastas 5 2 7 2 4" xfId="2409" xr:uid="{A066B737-E5FB-4229-9A84-5C51ABFB9BC6}"/>
    <cellStyle name="Įprastas 5 2 7 2 4 2" xfId="5002" xr:uid="{5EA7E9DC-4DBE-4412-83BB-2A1A03D1E51C}"/>
    <cellStyle name="Įprastas 5 2 7 2 4_8 priedas" xfId="9305" xr:uid="{431386DB-F65B-4BD9-98D8-AE12AFE84788}"/>
    <cellStyle name="Įprastas 5 2 7 2 5" xfId="6730" xr:uid="{063E17FD-5071-41EF-BFD7-5D0E7663DFEC}"/>
    <cellStyle name="Įprastas 5 2 7 2 6" xfId="3274" xr:uid="{1AEDA91F-8A54-449E-BFE9-E43162D93881}"/>
    <cellStyle name="Įprastas 5 2 7 2_8 priedas" xfId="950" xr:uid="{00000000-0005-0000-0000-000088020000}"/>
    <cellStyle name="Įprastas 5 2 7 3" xfId="244" xr:uid="{00000000-0005-0000-0000-000089020000}"/>
    <cellStyle name="Įprastas 5 2 7 3 2" xfId="812" xr:uid="{00000000-0005-0000-0000-00008A020000}"/>
    <cellStyle name="Įprastas 5 2 7 3 2 2" xfId="1753" xr:uid="{80E71E55-7865-4F1F-AF0E-7BBBB6AEAD8D}"/>
    <cellStyle name="Įprastas 5 2 7 3 2 2 2" xfId="6417" xr:uid="{5EADD825-D16B-43CF-903E-293E065AE5ED}"/>
    <cellStyle name="Įprastas 5 2 7 3 2 2 3" xfId="8145" xr:uid="{6B1852C4-716D-4AEB-AD16-4E7D9EAB1ABE}"/>
    <cellStyle name="Įprastas 5 2 7 3 2 2 4" xfId="4689" xr:uid="{4D73CF8E-B57F-4242-84AF-F77ED999E4A1}"/>
    <cellStyle name="Įprastas 5 2 7 3 2 2_8 priedas" xfId="9307" xr:uid="{D3637FD4-4CC3-48D5-AAD9-D6DB9C00E77B}"/>
    <cellStyle name="Įprastas 5 2 7 3 2 3" xfId="2960" xr:uid="{75B0C30D-9822-4172-8C47-BE1FA6544554}"/>
    <cellStyle name="Įprastas 5 2 7 3 2 3 2" xfId="5553" xr:uid="{1FC0901A-B6ED-4D44-A448-ABCBB6CCA7CF}"/>
    <cellStyle name="Įprastas 5 2 7 3 2 3_8 priedas" xfId="9308" xr:uid="{4D38901F-9AA8-4701-8B16-E38E980CF258}"/>
    <cellStyle name="Įprastas 5 2 7 3 2 4" xfId="7281" xr:uid="{C5E57576-47E4-47AD-98B3-5A9ECA18C9FF}"/>
    <cellStyle name="Įprastas 5 2 7 3 2 5" xfId="3825" xr:uid="{903A4550-CED2-4DE7-9AEC-329E1CCBF98E}"/>
    <cellStyle name="Įprastas 5 2 7 3 2_8 priedas" xfId="9306" xr:uid="{68741EBA-9984-4BF1-855F-2770C8EC383A}"/>
    <cellStyle name="Įprastas 5 2 7 3 3" xfId="1754" xr:uid="{7ECCC232-B9F3-45DA-9813-052BE8489E33}"/>
    <cellStyle name="Įprastas 5 2 7 3 3 2" xfId="5867" xr:uid="{D87625E6-C471-4221-9B47-71B3A3376F7A}"/>
    <cellStyle name="Įprastas 5 2 7 3 3 3" xfId="7595" xr:uid="{B648617D-B6E6-43F1-846C-4DE3016D470F}"/>
    <cellStyle name="Įprastas 5 2 7 3 3 4" xfId="4139" xr:uid="{34D96175-2963-4C54-9FA4-3F012050E379}"/>
    <cellStyle name="Įprastas 5 2 7 3 3_8 priedas" xfId="9309" xr:uid="{9A9AAEBD-C6B6-4B3B-926B-B4DF44F898EB}"/>
    <cellStyle name="Įprastas 5 2 7 3 4" xfId="2410" xr:uid="{92DB452A-4543-4799-8C25-BDF5CD26CD3B}"/>
    <cellStyle name="Įprastas 5 2 7 3 4 2" xfId="5003" xr:uid="{A93CB5B6-4A14-44E2-8FBD-D58A65FC2EFE}"/>
    <cellStyle name="Įprastas 5 2 7 3 4_8 priedas" xfId="9310" xr:uid="{7FF63D8C-68AA-401C-B7EA-DB4CC9EA3826}"/>
    <cellStyle name="Įprastas 5 2 7 3 5" xfId="6731" xr:uid="{6EC011A8-95A5-4ADA-8A9B-9CE42F8A4DF2}"/>
    <cellStyle name="Įprastas 5 2 7 3 6" xfId="3275" xr:uid="{757D8B78-D45A-4FF2-B9CD-6ED43A01B548}"/>
    <cellStyle name="Įprastas 5 2 7 3_8 priedas" xfId="1209" xr:uid="{00000000-0005-0000-0000-00008B020000}"/>
    <cellStyle name="Įprastas 5 2 7 4" xfId="524" xr:uid="{00000000-0005-0000-0000-00008C020000}"/>
    <cellStyle name="Įprastas 5 2 7 4 2" xfId="1755" xr:uid="{C39D47FC-9A4E-414F-9FE3-C14CBF3D0AF3}"/>
    <cellStyle name="Įprastas 5 2 7 4 2 2" xfId="6129" xr:uid="{0BE1BAEE-EDBA-4DC3-9CE7-449CA759941D}"/>
    <cellStyle name="Įprastas 5 2 7 4 2 3" xfId="7857" xr:uid="{C3D2D4F9-5FE5-4536-9BFB-F53FF667E0B2}"/>
    <cellStyle name="Įprastas 5 2 7 4 2 4" xfId="4401" xr:uid="{68C63C16-5027-419A-BA98-6B112DCA7768}"/>
    <cellStyle name="Įprastas 5 2 7 4 2_8 priedas" xfId="9312" xr:uid="{035D82E3-88E2-4549-AB4A-C9991E2728E3}"/>
    <cellStyle name="Įprastas 5 2 7 4 3" xfId="2672" xr:uid="{510AB628-624A-414A-81DD-68CC24E4900E}"/>
    <cellStyle name="Įprastas 5 2 7 4 3 2" xfId="5265" xr:uid="{69A02929-501C-4D09-A330-5C3717F79C30}"/>
    <cellStyle name="Įprastas 5 2 7 4 3_8 priedas" xfId="9313" xr:uid="{6EE1DD6A-E193-42CB-9601-B391B2EA2611}"/>
    <cellStyle name="Įprastas 5 2 7 4 4" xfId="6993" xr:uid="{4EAB130A-4FCE-4A16-ADAB-BEB43B7E56F2}"/>
    <cellStyle name="Įprastas 5 2 7 4 5" xfId="3537" xr:uid="{5350DFB4-4976-4CF9-ADF6-062F2CCC8056}"/>
    <cellStyle name="Įprastas 5 2 7 4_8 priedas" xfId="9311" xr:uid="{37C2AFEF-5291-4C59-90D2-842A7A24D089}"/>
    <cellStyle name="Įprastas 5 2 7 5" xfId="1756" xr:uid="{219CA7D0-3C3A-4058-9572-2E8D3C33C65E}"/>
    <cellStyle name="Įprastas 5 2 7 5 2" xfId="5865" xr:uid="{CF2CE71B-FB27-48A7-B945-CCA819A10D14}"/>
    <cellStyle name="Įprastas 5 2 7 5 3" xfId="7593" xr:uid="{B8A0FA60-3E9F-48A4-9541-068A1046E182}"/>
    <cellStyle name="Įprastas 5 2 7 5 4" xfId="4137" xr:uid="{673EC781-5CF4-4C9E-89B7-CA894DDF65F2}"/>
    <cellStyle name="Įprastas 5 2 7 5_8 priedas" xfId="9314" xr:uid="{51837009-A669-40DF-A061-775D688156EC}"/>
    <cellStyle name="Įprastas 5 2 7 6" xfId="2408" xr:uid="{61ECCDF0-312E-45BF-9B7A-55587A65F7BE}"/>
    <cellStyle name="Įprastas 5 2 7 6 2" xfId="5001" xr:uid="{A779F0A0-5273-4838-84A2-2089473994EB}"/>
    <cellStyle name="Įprastas 5 2 7 6_8 priedas" xfId="9315" xr:uid="{4C45DA2F-EC26-45A3-8001-7BF46FBF7DCC}"/>
    <cellStyle name="Įprastas 5 2 7 7" xfId="6729" xr:uid="{12C201EC-B77B-4236-A4D5-0B0136C90935}"/>
    <cellStyle name="Įprastas 5 2 7 8" xfId="3273" xr:uid="{6DDD5DF0-26C4-4810-8AA1-C6796932E9C7}"/>
    <cellStyle name="Įprastas 5 2 7_8 priedas" xfId="991" xr:uid="{00000000-0005-0000-0000-00008D020000}"/>
    <cellStyle name="Įprastas 5 2 8" xfId="245" xr:uid="{00000000-0005-0000-0000-00008E020000}"/>
    <cellStyle name="Įprastas 5 2 8 2" xfId="246" xr:uid="{00000000-0005-0000-0000-00008F020000}"/>
    <cellStyle name="Įprastas 5 2 8 2 2" xfId="716" xr:uid="{00000000-0005-0000-0000-000090020000}"/>
    <cellStyle name="Įprastas 5 2 8 2 2 2" xfId="1757" xr:uid="{5C473FB8-4529-47C5-921F-29225AF8F333}"/>
    <cellStyle name="Įprastas 5 2 8 2 2 2 2" xfId="6321" xr:uid="{6B7EF742-4F91-4756-82DD-6399AED97171}"/>
    <cellStyle name="Įprastas 5 2 8 2 2 2 3" xfId="8049" xr:uid="{FB32E11D-6B5A-44F3-81CD-737D6C03FDA4}"/>
    <cellStyle name="Įprastas 5 2 8 2 2 2 4" xfId="4593" xr:uid="{5D733407-BEBB-4F31-A532-298E3A27D2A8}"/>
    <cellStyle name="Įprastas 5 2 8 2 2 2_8 priedas" xfId="9317" xr:uid="{5F942424-0389-4A33-B5E9-10D72A11AD07}"/>
    <cellStyle name="Įprastas 5 2 8 2 2 3" xfId="2864" xr:uid="{147D36DC-E68D-47C4-A853-1A9930CE5BD7}"/>
    <cellStyle name="Įprastas 5 2 8 2 2 3 2" xfId="5457" xr:uid="{FBD58722-4175-4ADD-9932-65E3D325B17E}"/>
    <cellStyle name="Įprastas 5 2 8 2 2 3_8 priedas" xfId="9318" xr:uid="{9AE0DA35-3FDB-4DA5-B863-F8CA750FDDCF}"/>
    <cellStyle name="Įprastas 5 2 8 2 2 4" xfId="7185" xr:uid="{BC9F3418-3C0F-4473-AB51-47767D5BF50B}"/>
    <cellStyle name="Įprastas 5 2 8 2 2 5" xfId="3729" xr:uid="{680D1377-7E41-42EE-B13A-F324B4F7B9D9}"/>
    <cellStyle name="Įprastas 5 2 8 2 2_8 priedas" xfId="9316" xr:uid="{F280FC0D-6ECE-419A-9968-22DA129BB556}"/>
    <cellStyle name="Įprastas 5 2 8 2 3" xfId="1758" xr:uid="{324328EF-3AD6-46BE-A0AD-488892C87D20}"/>
    <cellStyle name="Įprastas 5 2 8 2 3 2" xfId="5869" xr:uid="{BBDCFEDE-C58E-4A98-B85B-DD9FABE66C86}"/>
    <cellStyle name="Įprastas 5 2 8 2 3 3" xfId="7597" xr:uid="{FBDCE8E5-C537-4E4D-8E49-586AAB54405E}"/>
    <cellStyle name="Įprastas 5 2 8 2 3 4" xfId="4141" xr:uid="{5E061F21-CABE-4B8E-A7A6-43A8CC892BEB}"/>
    <cellStyle name="Įprastas 5 2 8 2 3_8 priedas" xfId="9319" xr:uid="{D676F16C-413F-4CE2-A094-C0D2579CDE77}"/>
    <cellStyle name="Įprastas 5 2 8 2 4" xfId="2412" xr:uid="{7D54DC11-96DD-4FE1-8959-F9693CDC0571}"/>
    <cellStyle name="Įprastas 5 2 8 2 4 2" xfId="5005" xr:uid="{FC7E84AD-6C66-4BCC-AB9B-FE92E23D2A1F}"/>
    <cellStyle name="Įprastas 5 2 8 2 4_8 priedas" xfId="9320" xr:uid="{F9129867-5866-4CF2-B5FD-2BD2C124B34F}"/>
    <cellStyle name="Įprastas 5 2 8 2 5" xfId="6733" xr:uid="{88672A6D-4734-4A67-9AE2-BF156ED28EE5}"/>
    <cellStyle name="Įprastas 5 2 8 2 6" xfId="3277" xr:uid="{FBACAFB5-03CB-48AD-A132-59E10D3BC4F3}"/>
    <cellStyle name="Įprastas 5 2 8 2_8 priedas" xfId="1300" xr:uid="{00000000-0005-0000-0000-000091020000}"/>
    <cellStyle name="Įprastas 5 2 8 3" xfId="247" xr:uid="{00000000-0005-0000-0000-000092020000}"/>
    <cellStyle name="Įprastas 5 2 8 3 2" xfId="860" xr:uid="{00000000-0005-0000-0000-000093020000}"/>
    <cellStyle name="Įprastas 5 2 8 3 2 2" xfId="1759" xr:uid="{FBFA4E68-8FCF-45F4-9473-89ACEC441059}"/>
    <cellStyle name="Įprastas 5 2 8 3 2 2 2" xfId="6465" xr:uid="{EBD467DE-CBA6-447A-B89F-F1F99627E4DF}"/>
    <cellStyle name="Įprastas 5 2 8 3 2 2 3" xfId="8193" xr:uid="{3A0F87CB-04C2-403C-8ED7-1B94F35050DB}"/>
    <cellStyle name="Įprastas 5 2 8 3 2 2 4" xfId="4737" xr:uid="{99ECC5DB-0387-4624-80D5-EDB60125D529}"/>
    <cellStyle name="Įprastas 5 2 8 3 2 2_8 priedas" xfId="9322" xr:uid="{7C25E79B-B3D5-4B27-AA3D-FF6598AF905A}"/>
    <cellStyle name="Įprastas 5 2 8 3 2 3" xfId="3008" xr:uid="{D30A8EF1-6B25-41C0-8B18-A501E64B7C51}"/>
    <cellStyle name="Įprastas 5 2 8 3 2 3 2" xfId="5601" xr:uid="{B0FB0DFA-449A-4140-958A-B4715C5DE70C}"/>
    <cellStyle name="Įprastas 5 2 8 3 2 3_8 priedas" xfId="9323" xr:uid="{34D0CB77-1634-466E-9A5D-90B7D83565D5}"/>
    <cellStyle name="Įprastas 5 2 8 3 2 4" xfId="7329" xr:uid="{1F05D98C-028F-4156-8EE9-3CCE26B51375}"/>
    <cellStyle name="Įprastas 5 2 8 3 2 5" xfId="3873" xr:uid="{A67E4982-38D6-4B42-A8B4-BBEA1DC5090F}"/>
    <cellStyle name="Įprastas 5 2 8 3 2_8 priedas" xfId="9321" xr:uid="{9ABD25DC-0294-4AF7-A704-31DD1BA47A0F}"/>
    <cellStyle name="Įprastas 5 2 8 3 3" xfId="1760" xr:uid="{9DC4995E-4840-40A9-B2F8-29C2C3FAAE57}"/>
    <cellStyle name="Įprastas 5 2 8 3 3 2" xfId="5870" xr:uid="{8A152775-24D7-4064-AF07-ED0243D5356F}"/>
    <cellStyle name="Įprastas 5 2 8 3 3 3" xfId="7598" xr:uid="{E78A6576-451B-4412-B1DA-D266E0D56FB2}"/>
    <cellStyle name="Įprastas 5 2 8 3 3 4" xfId="4142" xr:uid="{88F05B70-8E39-498E-8549-8C330ED50A72}"/>
    <cellStyle name="Įprastas 5 2 8 3 3_8 priedas" xfId="9324" xr:uid="{0CA9074B-CD5F-4B33-8340-E5D587B182B7}"/>
    <cellStyle name="Įprastas 5 2 8 3 4" xfId="2413" xr:uid="{215FB3E8-381D-42BF-9F51-0E4368DE3B03}"/>
    <cellStyle name="Įprastas 5 2 8 3 4 2" xfId="5006" xr:uid="{A9CA5BDD-F0FD-452B-B6F7-862682AE3409}"/>
    <cellStyle name="Įprastas 5 2 8 3 4_8 priedas" xfId="9325" xr:uid="{027BF6FB-5D04-4CDF-BE58-163034D934A0}"/>
    <cellStyle name="Įprastas 5 2 8 3 5" xfId="6734" xr:uid="{106772DA-106A-4ABC-A8E7-F1CA1D65649A}"/>
    <cellStyle name="Įprastas 5 2 8 3 6" xfId="3278" xr:uid="{3CA87CE4-C687-4A14-8868-CCD170DC313D}"/>
    <cellStyle name="Įprastas 5 2 8 3_8 priedas" xfId="1163" xr:uid="{00000000-0005-0000-0000-000094020000}"/>
    <cellStyle name="Įprastas 5 2 8 4" xfId="572" xr:uid="{00000000-0005-0000-0000-000095020000}"/>
    <cellStyle name="Įprastas 5 2 8 4 2" xfId="1761" xr:uid="{18865C2B-EFE8-467E-ABE5-C0B7ABC89B58}"/>
    <cellStyle name="Įprastas 5 2 8 4 2 2" xfId="6177" xr:uid="{3B6AE49C-1EDA-4A15-8C4E-2D02BA387CEF}"/>
    <cellStyle name="Įprastas 5 2 8 4 2 3" xfId="7905" xr:uid="{8DF20121-4581-4FA9-A688-C9B7ED9BA2EC}"/>
    <cellStyle name="Įprastas 5 2 8 4 2 4" xfId="4449" xr:uid="{00B6B82F-59B3-4AF3-8E6C-DC58557F72BC}"/>
    <cellStyle name="Įprastas 5 2 8 4 2_8 priedas" xfId="9327" xr:uid="{6C192EDB-3A12-4C65-82D1-A02851808DDB}"/>
    <cellStyle name="Įprastas 5 2 8 4 3" xfId="2720" xr:uid="{78BE7110-6407-4D74-AA1C-C159FCA14DFC}"/>
    <cellStyle name="Įprastas 5 2 8 4 3 2" xfId="5313" xr:uid="{DCAD24A3-61E6-406E-89F5-3908B1CD50FB}"/>
    <cellStyle name="Įprastas 5 2 8 4 3_8 priedas" xfId="9328" xr:uid="{4C0DFC8B-5CC9-432D-8BAE-F81EA996D28A}"/>
    <cellStyle name="Įprastas 5 2 8 4 4" xfId="7041" xr:uid="{4CB2D539-1663-43F6-8CEC-681593C96312}"/>
    <cellStyle name="Įprastas 5 2 8 4 5" xfId="3585" xr:uid="{731AEF08-921A-40FE-9BCD-493BA48C040D}"/>
    <cellStyle name="Įprastas 5 2 8 4_8 priedas" xfId="9326" xr:uid="{36C2C102-0C0E-49A7-B6C1-78A99CCFE8A1}"/>
    <cellStyle name="Įprastas 5 2 8 5" xfId="1762" xr:uid="{A6C039FA-E846-4264-8722-2C92230BE1EB}"/>
    <cellStyle name="Įprastas 5 2 8 5 2" xfId="5868" xr:uid="{CF083CEC-C1E9-43C0-86D7-23F487B75656}"/>
    <cellStyle name="Įprastas 5 2 8 5 3" xfId="7596" xr:uid="{D32270A4-9DAB-4826-BEB7-782BF736B2E4}"/>
    <cellStyle name="Įprastas 5 2 8 5 4" xfId="4140" xr:uid="{4777CE3C-60E3-4939-8941-DA7C8AB453AB}"/>
    <cellStyle name="Įprastas 5 2 8 5_8 priedas" xfId="9329" xr:uid="{34E756AA-DE2F-4D1C-86C8-A53641EC9BCE}"/>
    <cellStyle name="Įprastas 5 2 8 6" xfId="2411" xr:uid="{85C5B61A-98B2-4E59-8281-3747AF197F2A}"/>
    <cellStyle name="Įprastas 5 2 8 6 2" xfId="5004" xr:uid="{DC952A21-5FF0-4D74-8E40-408CE445FA79}"/>
    <cellStyle name="Įprastas 5 2 8 6_8 priedas" xfId="9330" xr:uid="{2BC74E67-3175-4867-AF07-2BEE550E9D76}"/>
    <cellStyle name="Įprastas 5 2 8 7" xfId="6732" xr:uid="{48276DBF-D102-4E76-AA00-821BE86BD43C}"/>
    <cellStyle name="Įprastas 5 2 8 8" xfId="3276" xr:uid="{F9C36E60-4A12-43FE-8B35-3C630D9B9E3C}"/>
    <cellStyle name="Įprastas 5 2 8_8 priedas" xfId="1075" xr:uid="{00000000-0005-0000-0000-000096020000}"/>
    <cellStyle name="Įprastas 5 2 9" xfId="248" xr:uid="{00000000-0005-0000-0000-000097020000}"/>
    <cellStyle name="Įprastas 5 2 9 2" xfId="620" xr:uid="{00000000-0005-0000-0000-000098020000}"/>
    <cellStyle name="Įprastas 5 2 9 2 2" xfId="1763" xr:uid="{42B646B2-F59C-46FC-A42C-5DB83F4FFAF9}"/>
    <cellStyle name="Įprastas 5 2 9 2 2 2" xfId="6225" xr:uid="{4F67A7F4-4CBF-4BE3-BC6C-2A4C2CCC1F0B}"/>
    <cellStyle name="Įprastas 5 2 9 2 2 3" xfId="7953" xr:uid="{617192B1-C276-4C97-84F3-12BDB782BF40}"/>
    <cellStyle name="Įprastas 5 2 9 2 2 4" xfId="4497" xr:uid="{EE431CB6-A67B-4108-9C24-8F87C3AB8605}"/>
    <cellStyle name="Įprastas 5 2 9 2 2_8 priedas" xfId="9332" xr:uid="{72AC9A3C-579C-4D1F-82C0-AA5FBF9FADB5}"/>
    <cellStyle name="Įprastas 5 2 9 2 3" xfId="2768" xr:uid="{228BE8B8-28D3-4552-B8E7-F0C9E522D818}"/>
    <cellStyle name="Įprastas 5 2 9 2 3 2" xfId="5361" xr:uid="{18C5E41C-23E3-482D-B287-1026B55A5BDC}"/>
    <cellStyle name="Įprastas 5 2 9 2 3_8 priedas" xfId="9333" xr:uid="{E39C86D7-5ADB-4048-B842-473470CB35A7}"/>
    <cellStyle name="Įprastas 5 2 9 2 4" xfId="7089" xr:uid="{861B8462-58A0-4DEA-8920-BB02D3B3FEB7}"/>
    <cellStyle name="Įprastas 5 2 9 2 5" xfId="3633" xr:uid="{8752EFE4-75DC-4D69-8629-1E8B95122932}"/>
    <cellStyle name="Įprastas 5 2 9 2_8 priedas" xfId="9331" xr:uid="{3E9B782C-F2AC-4E86-AF29-EC15E76DAD1F}"/>
    <cellStyle name="Įprastas 5 2 9 3" xfId="1764" xr:uid="{F4079D1F-9046-4A62-B155-A6DF8BE077D7}"/>
    <cellStyle name="Įprastas 5 2 9 3 2" xfId="5871" xr:uid="{85F01E40-A31E-405D-BDA4-E0A3A0517FC1}"/>
    <cellStyle name="Įprastas 5 2 9 3 3" xfId="7599" xr:uid="{CF95B182-172E-4293-A564-091B3C438529}"/>
    <cellStyle name="Įprastas 5 2 9 3 4" xfId="4143" xr:uid="{26B9301C-409A-4B9F-8CF5-8185C0AB9BD4}"/>
    <cellStyle name="Įprastas 5 2 9 3_8 priedas" xfId="9334" xr:uid="{0A4EE4BD-34AF-48CA-ABF0-B2E28B2A3A66}"/>
    <cellStyle name="Įprastas 5 2 9 4" xfId="2414" xr:uid="{84AAE95A-CC9D-4713-95E9-09CF5E57F837}"/>
    <cellStyle name="Įprastas 5 2 9 4 2" xfId="5007" xr:uid="{29A9FC2E-261A-48FF-9DA1-1DE776C42F07}"/>
    <cellStyle name="Įprastas 5 2 9 4_8 priedas" xfId="9335" xr:uid="{CBE0E214-E4A4-4F50-8F34-65F137CF5F01}"/>
    <cellStyle name="Įprastas 5 2 9 5" xfId="6735" xr:uid="{E4289F4E-22CA-4108-9A36-9C33FF935B1E}"/>
    <cellStyle name="Įprastas 5 2 9 6" xfId="3279" xr:uid="{FB483AB6-C3B9-4560-A27C-7A2AB77B5C81}"/>
    <cellStyle name="Įprastas 5 2 9_8 priedas" xfId="1028" xr:uid="{00000000-0005-0000-0000-000099020000}"/>
    <cellStyle name="Įprastas 5 2_8 priedas" xfId="21" xr:uid="{00000000-0005-0000-0000-00009A020000}"/>
    <cellStyle name="Įprastas 5 3" xfId="17" xr:uid="{00000000-0005-0000-0000-00009B020000}"/>
    <cellStyle name="Įprastas 5 3 10" xfId="1765" xr:uid="{96D791E9-78AF-42E4-A614-ADAD2568CC82}"/>
    <cellStyle name="Įprastas 5 3 10 2" xfId="5652" xr:uid="{2A176166-55BB-4251-AA52-4D0C21F8E503}"/>
    <cellStyle name="Įprastas 5 3 10 3" xfId="7380" xr:uid="{615455C9-C321-433C-8609-0E659F4E72BD}"/>
    <cellStyle name="Įprastas 5 3 10 4" xfId="3924" xr:uid="{9DE85821-9943-47C1-81CD-A88E07342608}"/>
    <cellStyle name="Įprastas 5 3 10_8 priedas" xfId="9336" xr:uid="{85966514-C15C-4CBF-8E70-D009989A8B41}"/>
    <cellStyle name="Įprastas 5 3 11" xfId="2195" xr:uid="{43F2D5E4-0618-4EF6-8311-466B9FD98EF7}"/>
    <cellStyle name="Įprastas 5 3 11 2" xfId="4788" xr:uid="{38C69836-8BCC-4AAA-995C-5C16242C775D}"/>
    <cellStyle name="Įprastas 5 3 11_8 priedas" xfId="9337" xr:uid="{A9B498EC-5362-4C7C-96AF-3F312B11BD39}"/>
    <cellStyle name="Įprastas 5 3 12" xfId="6516" xr:uid="{4BFDBA7C-5D16-46B9-AE60-FDFB7FE0C2BB}"/>
    <cellStyle name="Įprastas 5 3 13" xfId="3060" xr:uid="{0EC5284D-8859-4BAB-8CFB-7278AA83FEC5}"/>
    <cellStyle name="Įprastas 5 3 2" xfId="24" xr:uid="{00000000-0005-0000-0000-00009C020000}"/>
    <cellStyle name="Įprastas 5 3 2 10" xfId="2199" xr:uid="{675FAE40-1744-4750-B1D5-417FF6080240}"/>
    <cellStyle name="Įprastas 5 3 2 10 2" xfId="4792" xr:uid="{E43B4F3D-577E-4514-B77E-A0623492E741}"/>
    <cellStyle name="Įprastas 5 3 2 10_8 priedas" xfId="9338" xr:uid="{950FE316-1C09-4860-8E90-6B139911B23E}"/>
    <cellStyle name="Įprastas 5 3 2 11" xfId="6520" xr:uid="{20245590-4342-4603-B831-16206BCFE200}"/>
    <cellStyle name="Įprastas 5 3 2 12" xfId="3064" xr:uid="{92B0D345-919E-42D2-94AB-03C0C2B95E27}"/>
    <cellStyle name="Įprastas 5 3 2 2" xfId="250" xr:uid="{00000000-0005-0000-0000-00009D020000}"/>
    <cellStyle name="Įprastas 5 3 2 2 10" xfId="6736" xr:uid="{B2A2901D-C106-4D85-871D-C055FE94B7C2}"/>
    <cellStyle name="Įprastas 5 3 2 2 11" xfId="3280" xr:uid="{78E6EEC4-F359-4BB3-B920-D12C2CC2A327}"/>
    <cellStyle name="Įprastas 5 3 2 2 2" xfId="251" xr:uid="{00000000-0005-0000-0000-00009E020000}"/>
    <cellStyle name="Įprastas 5 3 2 2 2 10" xfId="3281" xr:uid="{14C28B90-5297-4E15-A340-706C4EADC091}"/>
    <cellStyle name="Įprastas 5 3 2 2 2 2" xfId="252" xr:uid="{00000000-0005-0000-0000-00009F020000}"/>
    <cellStyle name="Įprastas 5 3 2 2 2 2 2" xfId="253" xr:uid="{00000000-0005-0000-0000-0000A0020000}"/>
    <cellStyle name="Įprastas 5 3 2 2 2 2 2 2" xfId="711" xr:uid="{00000000-0005-0000-0000-0000A1020000}"/>
    <cellStyle name="Įprastas 5 3 2 2 2 2 2 2 2" xfId="1766" xr:uid="{5D1F48D3-C821-4D3D-B960-C6265AFC408D}"/>
    <cellStyle name="Įprastas 5 3 2 2 2 2 2 2 2 2" xfId="6316" xr:uid="{2D384E91-0656-4EA1-940B-428075C4D91C}"/>
    <cellStyle name="Įprastas 5 3 2 2 2 2 2 2 2 3" xfId="8044" xr:uid="{9389332C-0DD1-4D47-96A6-F58F52A009E3}"/>
    <cellStyle name="Įprastas 5 3 2 2 2 2 2 2 2 4" xfId="4588" xr:uid="{D6CAA9D8-CE0A-41E2-8F19-2D708C340505}"/>
    <cellStyle name="Įprastas 5 3 2 2 2 2 2 2 2_8 priedas" xfId="9340" xr:uid="{382E39ED-2AB5-4531-8CFB-9B71212B6C49}"/>
    <cellStyle name="Įprastas 5 3 2 2 2 2 2 2 3" xfId="2859" xr:uid="{D29FD6A2-008B-46D9-BD22-7FDB3C76F0D4}"/>
    <cellStyle name="Įprastas 5 3 2 2 2 2 2 2 3 2" xfId="5452" xr:uid="{8FCE7A53-ADB2-4DC6-9D51-9C3B87C6FDDD}"/>
    <cellStyle name="Įprastas 5 3 2 2 2 2 2 2 3_8 priedas" xfId="9341" xr:uid="{0460F55A-DDE5-4918-8474-7734CE3D18AD}"/>
    <cellStyle name="Įprastas 5 3 2 2 2 2 2 2 4" xfId="7180" xr:uid="{80AF3C01-1665-47B2-A014-A17209ACF405}"/>
    <cellStyle name="Įprastas 5 3 2 2 2 2 2 2 5" xfId="3724" xr:uid="{D03ED27E-3A47-49B6-953C-9C71DD1718FE}"/>
    <cellStyle name="Įprastas 5 3 2 2 2 2 2 2_8 priedas" xfId="9339" xr:uid="{DAF27B7A-0637-47F9-A315-F38F717273E2}"/>
    <cellStyle name="Įprastas 5 3 2 2 2 2 2 3" xfId="1767" xr:uid="{B4EE3405-17F6-4CB6-9117-B88E9437D216}"/>
    <cellStyle name="Įprastas 5 3 2 2 2 2 2 3 2" xfId="5875" xr:uid="{24914CBC-41A5-4F3D-ACCF-0DADF6018F16}"/>
    <cellStyle name="Įprastas 5 3 2 2 2 2 2 3 3" xfId="7603" xr:uid="{05700949-BB79-441F-AED7-2FCA9C4419B9}"/>
    <cellStyle name="Įprastas 5 3 2 2 2 2 2 3 4" xfId="4147" xr:uid="{A9BF94FC-8803-4182-A393-952B127EA71A}"/>
    <cellStyle name="Įprastas 5 3 2 2 2 2 2 3_8 priedas" xfId="9342" xr:uid="{FDACF185-EE76-4A5D-B03C-1FF19BD03035}"/>
    <cellStyle name="Įprastas 5 3 2 2 2 2 2 4" xfId="2418" xr:uid="{C7811DB1-F902-4344-AFA6-8A8695C02E39}"/>
    <cellStyle name="Įprastas 5 3 2 2 2 2 2 4 2" xfId="5011" xr:uid="{65F0883E-F697-4387-A9F9-BEA54B02CB1A}"/>
    <cellStyle name="Įprastas 5 3 2 2 2 2 2 4_8 priedas" xfId="9343" xr:uid="{B8CAB603-5748-4EDE-AF12-76F95ADD9FB7}"/>
    <cellStyle name="Įprastas 5 3 2 2 2 2 2 5" xfId="6739" xr:uid="{BE9DCFDD-0E9C-431E-9A83-0D06172492D8}"/>
    <cellStyle name="Įprastas 5 3 2 2 2 2 2 6" xfId="3283" xr:uid="{F1364782-EB33-4FAE-9E24-920CD24DC2F2}"/>
    <cellStyle name="Įprastas 5 3 2 2 2 2 2_8 priedas" xfId="1187" xr:uid="{00000000-0005-0000-0000-0000A2020000}"/>
    <cellStyle name="Įprastas 5 3 2 2 2 2 3" xfId="254" xr:uid="{00000000-0005-0000-0000-0000A3020000}"/>
    <cellStyle name="Įprastas 5 3 2 2 2 2 3 2" xfId="855" xr:uid="{00000000-0005-0000-0000-0000A4020000}"/>
    <cellStyle name="Įprastas 5 3 2 2 2 2 3 2 2" xfId="1768" xr:uid="{F21C0099-D323-4FB7-A97B-B45111DF802C}"/>
    <cellStyle name="Įprastas 5 3 2 2 2 2 3 2 2 2" xfId="6460" xr:uid="{E3FADF6F-A6BA-45C7-846F-6797F59DB657}"/>
    <cellStyle name="Įprastas 5 3 2 2 2 2 3 2 2 3" xfId="8188" xr:uid="{C625624B-8146-49A3-8B40-DE8BB5571188}"/>
    <cellStyle name="Įprastas 5 3 2 2 2 2 3 2 2 4" xfId="4732" xr:uid="{DFD8A878-4C8E-461F-8A7B-02E800DCECC2}"/>
    <cellStyle name="Įprastas 5 3 2 2 2 2 3 2 2_8 priedas" xfId="9345" xr:uid="{D44ED5FA-DE6B-43DD-A335-827B7382476F}"/>
    <cellStyle name="Įprastas 5 3 2 2 2 2 3 2 3" xfId="3003" xr:uid="{2B01E8D4-CD02-4BDC-A336-1893F08C0010}"/>
    <cellStyle name="Įprastas 5 3 2 2 2 2 3 2 3 2" xfId="5596" xr:uid="{AF6A8A77-8C4A-4C27-81D8-5B9BBD56D9AF}"/>
    <cellStyle name="Įprastas 5 3 2 2 2 2 3 2 3_8 priedas" xfId="9346" xr:uid="{1C4716BA-3AB2-446A-A702-5436E5ADEA4C}"/>
    <cellStyle name="Įprastas 5 3 2 2 2 2 3 2 4" xfId="7324" xr:uid="{FD0ECF9D-4D16-4CC1-ADEC-8F01FB2A4241}"/>
    <cellStyle name="Įprastas 5 3 2 2 2 2 3 2 5" xfId="3868" xr:uid="{AB23F975-4478-4E28-8B5E-5EAEAAD9826D}"/>
    <cellStyle name="Įprastas 5 3 2 2 2 2 3 2_8 priedas" xfId="9344" xr:uid="{774B6B1A-1298-414F-996B-A10F23292DC4}"/>
    <cellStyle name="Įprastas 5 3 2 2 2 2 3 3" xfId="1769" xr:uid="{BCF5FD15-3AC6-46BE-8405-95221DB0B58C}"/>
    <cellStyle name="Įprastas 5 3 2 2 2 2 3 3 2" xfId="5876" xr:uid="{74EEE0E1-5D9C-42F2-97B0-B2215D0E7C00}"/>
    <cellStyle name="Įprastas 5 3 2 2 2 2 3 3 3" xfId="7604" xr:uid="{A85B18CB-36D2-44C0-BFA8-1F8A730803C2}"/>
    <cellStyle name="Įprastas 5 3 2 2 2 2 3 3 4" xfId="4148" xr:uid="{B1782245-D7B9-4F8C-83C9-ED365A48E815}"/>
    <cellStyle name="Įprastas 5 3 2 2 2 2 3 3_8 priedas" xfId="9347" xr:uid="{8D1746D6-FAE8-4BB4-A901-5E1744F6BEDE}"/>
    <cellStyle name="Įprastas 5 3 2 2 2 2 3 4" xfId="2419" xr:uid="{9CC01925-02A3-459A-9C3F-07EA453DA462}"/>
    <cellStyle name="Įprastas 5 3 2 2 2 2 3 4 2" xfId="5012" xr:uid="{7CBD0A02-A09F-46CD-834D-9B044778610C}"/>
    <cellStyle name="Įprastas 5 3 2 2 2 2 3 4_8 priedas" xfId="9348" xr:uid="{8EA99F60-39E1-46C4-8F57-E6A66BCA92D5}"/>
    <cellStyle name="Įprastas 5 3 2 2 2 2 3 5" xfId="6740" xr:uid="{8CB99A1B-A208-4B1A-B126-F1D1BBE6012E}"/>
    <cellStyle name="Įprastas 5 3 2 2 2 2 3 6" xfId="3284" xr:uid="{5A242770-E660-4530-87DE-965AB3B8F9EE}"/>
    <cellStyle name="Įprastas 5 3 2 2 2 2 3_8 priedas" xfId="1051" xr:uid="{00000000-0005-0000-0000-0000A5020000}"/>
    <cellStyle name="Įprastas 5 3 2 2 2 2 4" xfId="567" xr:uid="{00000000-0005-0000-0000-0000A6020000}"/>
    <cellStyle name="Įprastas 5 3 2 2 2 2 4 2" xfId="1770" xr:uid="{FB675720-F800-443A-8A8C-DAF34BF6FA73}"/>
    <cellStyle name="Įprastas 5 3 2 2 2 2 4 2 2" xfId="6172" xr:uid="{3703D1D5-0A46-4E17-B725-B92A50342064}"/>
    <cellStyle name="Įprastas 5 3 2 2 2 2 4 2 3" xfId="7900" xr:uid="{657E7266-1547-471B-8537-271159CF30A7}"/>
    <cellStyle name="Įprastas 5 3 2 2 2 2 4 2 4" xfId="4444" xr:uid="{F791AFBA-0ADB-454A-9051-82AF51C2ED7B}"/>
    <cellStyle name="Įprastas 5 3 2 2 2 2 4 2_8 priedas" xfId="9350" xr:uid="{0B5F19B7-8ACF-4E4C-8CC3-23484F3F51C1}"/>
    <cellStyle name="Įprastas 5 3 2 2 2 2 4 3" xfId="2715" xr:uid="{CBA5E585-3559-4EC3-B7E7-C73445040887}"/>
    <cellStyle name="Įprastas 5 3 2 2 2 2 4 3 2" xfId="5308" xr:uid="{01EDDA5D-2F8E-44F8-80D6-BB14B33E4A6E}"/>
    <cellStyle name="Įprastas 5 3 2 2 2 2 4 3_8 priedas" xfId="9351" xr:uid="{272D62BE-7234-462C-ACF2-E9740D0176BA}"/>
    <cellStyle name="Įprastas 5 3 2 2 2 2 4 4" xfId="7036" xr:uid="{38596BF5-B9E4-49E3-8ED7-262F3F78D33C}"/>
    <cellStyle name="Įprastas 5 3 2 2 2 2 4 5" xfId="3580" xr:uid="{A15ED11A-BDCA-47D1-BA7E-EF3878BCFF2D}"/>
    <cellStyle name="Įprastas 5 3 2 2 2 2 4_8 priedas" xfId="9349" xr:uid="{9D4CCD88-3CEA-445F-A084-BDA94FDFEA01}"/>
    <cellStyle name="Įprastas 5 3 2 2 2 2 5" xfId="1771" xr:uid="{B38B633B-1F05-47FD-A03D-34F7FD976B8E}"/>
    <cellStyle name="Įprastas 5 3 2 2 2 2 5 2" xfId="5874" xr:uid="{A2837B2A-ACC7-43D2-BD21-E87AEDA73351}"/>
    <cellStyle name="Įprastas 5 3 2 2 2 2 5 3" xfId="7602" xr:uid="{23352C45-C0CE-45EE-B308-E193D1DCF3D8}"/>
    <cellStyle name="Įprastas 5 3 2 2 2 2 5 4" xfId="4146" xr:uid="{485A076D-71CF-4D8D-AF12-57C2A6ADE7E0}"/>
    <cellStyle name="Įprastas 5 3 2 2 2 2 5_8 priedas" xfId="9352" xr:uid="{C8406A51-A8AC-41ED-8A18-8A95E2B877F4}"/>
    <cellStyle name="Įprastas 5 3 2 2 2 2 6" xfId="2417" xr:uid="{A2D3B453-A0D3-4C47-965E-B66E0784E2A5}"/>
    <cellStyle name="Įprastas 5 3 2 2 2 2 6 2" xfId="5010" xr:uid="{32C7627D-73ED-49DA-AC5D-44A89FCD5C8E}"/>
    <cellStyle name="Įprastas 5 3 2 2 2 2 6_8 priedas" xfId="9353" xr:uid="{B2F5E5C9-B07F-422D-B778-31CC85859018}"/>
    <cellStyle name="Įprastas 5 3 2 2 2 2 7" xfId="6738" xr:uid="{4E0E73BB-D0CC-438F-8CAF-AE6235CDC0C2}"/>
    <cellStyle name="Įprastas 5 3 2 2 2 2 8" xfId="3282" xr:uid="{3E5DBCC4-CF62-4BC8-B4EC-1A14F4F8E3CB}"/>
    <cellStyle name="Įprastas 5 3 2 2 2 2_8 priedas" xfId="1324" xr:uid="{00000000-0005-0000-0000-0000A7020000}"/>
    <cellStyle name="Įprastas 5 3 2 2 2 3" xfId="255" xr:uid="{00000000-0005-0000-0000-0000A8020000}"/>
    <cellStyle name="Įprastas 5 3 2 2 2 3 2" xfId="256" xr:uid="{00000000-0005-0000-0000-0000A9020000}"/>
    <cellStyle name="Įprastas 5 3 2 2 2 3 2 2" xfId="759" xr:uid="{00000000-0005-0000-0000-0000AA020000}"/>
    <cellStyle name="Įprastas 5 3 2 2 2 3 2 2 2" xfId="1772" xr:uid="{45105E2E-C3D8-4C61-B37C-069A01B6F86D}"/>
    <cellStyle name="Įprastas 5 3 2 2 2 3 2 2 2 2" xfId="6364" xr:uid="{D2A18854-F491-4A56-80DC-D475F3E24FDF}"/>
    <cellStyle name="Įprastas 5 3 2 2 2 3 2 2 2 3" xfId="8092" xr:uid="{4C8DA8E8-64BA-4DAE-86C8-6096AD29E439}"/>
    <cellStyle name="Įprastas 5 3 2 2 2 3 2 2 2 4" xfId="4636" xr:uid="{30D106AF-475F-466C-A32C-2E9953C43FB9}"/>
    <cellStyle name="Įprastas 5 3 2 2 2 3 2 2 2_8 priedas" xfId="9355" xr:uid="{3870821B-3F04-4499-90E7-7EB9807B3BDB}"/>
    <cellStyle name="Įprastas 5 3 2 2 2 3 2 2 3" xfId="2907" xr:uid="{F20844FB-00F8-4988-BC27-31287515091F}"/>
    <cellStyle name="Įprastas 5 3 2 2 2 3 2 2 3 2" xfId="5500" xr:uid="{533E2CFB-0C69-4A29-9C75-5A507CBEF21D}"/>
    <cellStyle name="Įprastas 5 3 2 2 2 3 2 2 3_8 priedas" xfId="9356" xr:uid="{298322C4-87A9-424D-BB82-8B9834EF9A3D}"/>
    <cellStyle name="Įprastas 5 3 2 2 2 3 2 2 4" xfId="7228" xr:uid="{DDA194F6-2455-45BD-A091-EA6CCF9665FB}"/>
    <cellStyle name="Įprastas 5 3 2 2 2 3 2 2 5" xfId="3772" xr:uid="{FF99592B-76A1-416D-AE32-AA66A93F2E56}"/>
    <cellStyle name="Įprastas 5 3 2 2 2 3 2 2_8 priedas" xfId="9354" xr:uid="{C79F17F6-C899-43C7-8B15-2A2C436C12A1}"/>
    <cellStyle name="Įprastas 5 3 2 2 2 3 2 3" xfId="1773" xr:uid="{9187358C-29B2-4C28-8E08-13783FC762DE}"/>
    <cellStyle name="Įprastas 5 3 2 2 2 3 2 3 2" xfId="5878" xr:uid="{CAF475E2-30D4-45C0-A8BD-80E7302393C0}"/>
    <cellStyle name="Įprastas 5 3 2 2 2 3 2 3 3" xfId="7606" xr:uid="{CC2F4881-7BBD-44B7-B7B4-10402C499652}"/>
    <cellStyle name="Įprastas 5 3 2 2 2 3 2 3 4" xfId="4150" xr:uid="{A9A756BA-AE58-42A8-8F00-6633306500CE}"/>
    <cellStyle name="Įprastas 5 3 2 2 2 3 2 3_8 priedas" xfId="9357" xr:uid="{0369F018-D604-4B14-AF47-3C22BB58C2E1}"/>
    <cellStyle name="Įprastas 5 3 2 2 2 3 2 4" xfId="2421" xr:uid="{1EB68211-355C-4129-89F2-3D23BDB462D2}"/>
    <cellStyle name="Įprastas 5 3 2 2 2 3 2 4 2" xfId="5014" xr:uid="{99F64A65-C380-4888-99B1-DB6F17BB3908}"/>
    <cellStyle name="Įprastas 5 3 2 2 2 3 2 4_8 priedas" xfId="9358" xr:uid="{2CD304D7-453B-4506-BD2C-9393192C750A}"/>
    <cellStyle name="Įprastas 5 3 2 2 2 3 2 5" xfId="6742" xr:uid="{967FC0F9-614D-48DE-8066-F51A7B35C33A}"/>
    <cellStyle name="Įprastas 5 3 2 2 2 3 2 6" xfId="3286" xr:uid="{20293BBD-E932-4FEB-BE9F-333683572D77}"/>
    <cellStyle name="Įprastas 5 3 2 2 2 3 2_8 priedas" xfId="1139" xr:uid="{00000000-0005-0000-0000-0000AB020000}"/>
    <cellStyle name="Įprastas 5 3 2 2 2 3 3" xfId="257" xr:uid="{00000000-0005-0000-0000-0000AC020000}"/>
    <cellStyle name="Įprastas 5 3 2 2 2 3 3 2" xfId="903" xr:uid="{00000000-0005-0000-0000-0000AD020000}"/>
    <cellStyle name="Įprastas 5 3 2 2 2 3 3 2 2" xfId="1774" xr:uid="{349677CC-34A9-46CF-A1F7-41C59BE730AB}"/>
    <cellStyle name="Įprastas 5 3 2 2 2 3 3 2 2 2" xfId="6508" xr:uid="{AF3CBBF4-F296-4A34-BA3E-C17B544F875A}"/>
    <cellStyle name="Įprastas 5 3 2 2 2 3 3 2 2 3" xfId="8236" xr:uid="{6BF61893-B19B-4A5E-8848-5D1ADC29E40B}"/>
    <cellStyle name="Įprastas 5 3 2 2 2 3 3 2 2 4" xfId="4780" xr:uid="{F3978EE2-FF8C-42C0-99A4-8EC55DF79070}"/>
    <cellStyle name="Įprastas 5 3 2 2 2 3 3 2 2_8 priedas" xfId="9360" xr:uid="{CB3EF7B6-7480-471D-81C2-29D282316B9D}"/>
    <cellStyle name="Įprastas 5 3 2 2 2 3 3 2 3" xfId="3051" xr:uid="{9B7D6226-867B-4AB4-9310-1EDB3DBA6350}"/>
    <cellStyle name="Įprastas 5 3 2 2 2 3 3 2 3 2" xfId="5644" xr:uid="{9ED36ACA-F7A1-4C17-917B-A13C437AC7B6}"/>
    <cellStyle name="Įprastas 5 3 2 2 2 3 3 2 3_8 priedas" xfId="9361" xr:uid="{03F7764B-D79D-4D85-ABB1-5EB18B66A4E1}"/>
    <cellStyle name="Įprastas 5 3 2 2 2 3 3 2 4" xfId="7372" xr:uid="{46681EEA-4530-4C2B-AEA6-5BD88BAAD93A}"/>
    <cellStyle name="Įprastas 5 3 2 2 2 3 3 2 5" xfId="3916" xr:uid="{BDFC3F23-D051-4F54-9DD7-30B42D53FE43}"/>
    <cellStyle name="Įprastas 5 3 2 2 2 3 3 2_8 priedas" xfId="9359" xr:uid="{C9EFD17C-E356-42D2-90BC-4258A1630551}"/>
    <cellStyle name="Įprastas 5 3 2 2 2 3 3 3" xfId="1775" xr:uid="{A6E968AA-BC04-4633-B9B6-25DD0EE66BBE}"/>
    <cellStyle name="Įprastas 5 3 2 2 2 3 3 3 2" xfId="5879" xr:uid="{FE28B968-96A0-4A47-BD41-D935366772D0}"/>
    <cellStyle name="Įprastas 5 3 2 2 2 3 3 3 3" xfId="7607" xr:uid="{DA3FB66A-CD01-44AB-BCBF-BAED33B9A7A3}"/>
    <cellStyle name="Įprastas 5 3 2 2 2 3 3 3 4" xfId="4151" xr:uid="{70CC2912-94CE-4A3E-8606-93D37DD14029}"/>
    <cellStyle name="Įprastas 5 3 2 2 2 3 3 3_8 priedas" xfId="9362" xr:uid="{0C6E84A2-85A6-4700-8330-9F1170E451A7}"/>
    <cellStyle name="Įprastas 5 3 2 2 2 3 3 4" xfId="2422" xr:uid="{A60AAF20-1805-40DF-A75E-BF579BE4695D}"/>
    <cellStyle name="Įprastas 5 3 2 2 2 3 3 4 2" xfId="5015" xr:uid="{51490DC0-5F5E-4A55-8A40-A94DA0BFD03F}"/>
    <cellStyle name="Įprastas 5 3 2 2 2 3 3 4_8 priedas" xfId="9363" xr:uid="{CD2111A6-9AC6-4536-A70D-AD01ED440445}"/>
    <cellStyle name="Įprastas 5 3 2 2 2 3 3 5" xfId="6743" xr:uid="{6E9F345F-7831-4B61-9F44-B7B9992E0D3A}"/>
    <cellStyle name="Įprastas 5 3 2 2 2 3 3 6" xfId="3287" xr:uid="{4F0CA467-45ED-4B75-A43D-6AD0D5DBFEB6}"/>
    <cellStyle name="Įprastas 5 3 2 2 2 3 3_8 priedas" xfId="1003" xr:uid="{00000000-0005-0000-0000-0000AE020000}"/>
    <cellStyle name="Įprastas 5 3 2 2 2 3 4" xfId="615" xr:uid="{00000000-0005-0000-0000-0000AF020000}"/>
    <cellStyle name="Įprastas 5 3 2 2 2 3 4 2" xfId="1776" xr:uid="{15DF069D-C4C1-4CB6-BBFF-B244DDCDD4EB}"/>
    <cellStyle name="Įprastas 5 3 2 2 2 3 4 2 2" xfId="6220" xr:uid="{F93897B3-E644-4999-9E82-25C6BDB212E6}"/>
    <cellStyle name="Įprastas 5 3 2 2 2 3 4 2 3" xfId="7948" xr:uid="{0C8A33F5-75D9-4D92-A300-F89A38DE7604}"/>
    <cellStyle name="Įprastas 5 3 2 2 2 3 4 2 4" xfId="4492" xr:uid="{1012E0FE-8C02-49B1-8402-B82611E91829}"/>
    <cellStyle name="Įprastas 5 3 2 2 2 3 4 2_8 priedas" xfId="9365" xr:uid="{75149BD1-36B5-4FF1-87C9-0D88D617EDA8}"/>
    <cellStyle name="Įprastas 5 3 2 2 2 3 4 3" xfId="2763" xr:uid="{6A0D0D82-D176-4D95-AD01-2CB808B30DD5}"/>
    <cellStyle name="Įprastas 5 3 2 2 2 3 4 3 2" xfId="5356" xr:uid="{9BDF69C9-F493-49A2-AFF4-3C5939ECD655}"/>
    <cellStyle name="Įprastas 5 3 2 2 2 3 4 3_8 priedas" xfId="9366" xr:uid="{16C812D6-E5AD-40F2-BEAB-ABB6B29CE7BD}"/>
    <cellStyle name="Įprastas 5 3 2 2 2 3 4 4" xfId="7084" xr:uid="{CC5BD45D-85B1-4842-8098-4A972EBA7CFA}"/>
    <cellStyle name="Įprastas 5 3 2 2 2 3 4 5" xfId="3628" xr:uid="{CB91A5F1-CE61-4E14-814A-F2797DD2F50B}"/>
    <cellStyle name="Įprastas 5 3 2 2 2 3 4_8 priedas" xfId="9364" xr:uid="{EDA7FBBF-019A-4F05-8A0E-E03E28A8A940}"/>
    <cellStyle name="Įprastas 5 3 2 2 2 3 5" xfId="1777" xr:uid="{3BA5250C-BC98-42F5-9A20-A90AE78ABD61}"/>
    <cellStyle name="Įprastas 5 3 2 2 2 3 5 2" xfId="5877" xr:uid="{1B43E71F-D731-447A-A268-903595E73B72}"/>
    <cellStyle name="Įprastas 5 3 2 2 2 3 5 3" xfId="7605" xr:uid="{60096DA1-2806-41EF-8C7D-FA039B8EB412}"/>
    <cellStyle name="Įprastas 5 3 2 2 2 3 5 4" xfId="4149" xr:uid="{182E0836-6858-4E75-8BA9-F2EBADA03226}"/>
    <cellStyle name="Įprastas 5 3 2 2 2 3 5_8 priedas" xfId="9367" xr:uid="{B6B35337-8EEC-46ED-8743-3A34124C42AD}"/>
    <cellStyle name="Įprastas 5 3 2 2 2 3 6" xfId="2420" xr:uid="{77102A6F-9850-41EC-9523-5F12D6B3E9CC}"/>
    <cellStyle name="Įprastas 5 3 2 2 2 3 6 2" xfId="5013" xr:uid="{3B3895E2-75A0-46E1-A416-D367B23F1984}"/>
    <cellStyle name="Įprastas 5 3 2 2 2 3 6_8 priedas" xfId="9368" xr:uid="{A4EE1BE3-BDB6-4A85-88CB-63A5C7FD4DC7}"/>
    <cellStyle name="Įprastas 5 3 2 2 2 3 7" xfId="6741" xr:uid="{90C6A966-36D4-400D-92E7-C7C360AC24DE}"/>
    <cellStyle name="Įprastas 5 3 2 2 2 3 8" xfId="3285" xr:uid="{C57D0314-6F8D-492B-8722-789B2090EFA5}"/>
    <cellStyle name="Įprastas 5 3 2 2 2 3_8 priedas" xfId="1275" xr:uid="{00000000-0005-0000-0000-0000B0020000}"/>
    <cellStyle name="Įprastas 5 3 2 2 2 4" xfId="258" xr:uid="{00000000-0005-0000-0000-0000B1020000}"/>
    <cellStyle name="Įprastas 5 3 2 2 2 4 2" xfId="663" xr:uid="{00000000-0005-0000-0000-0000B2020000}"/>
    <cellStyle name="Įprastas 5 3 2 2 2 4 2 2" xfId="1778" xr:uid="{A2C2E050-5262-44ED-A79C-D517F07BB1EB}"/>
    <cellStyle name="Įprastas 5 3 2 2 2 4 2 2 2" xfId="6268" xr:uid="{09A07D95-C5DE-414D-885C-81299FCBA824}"/>
    <cellStyle name="Įprastas 5 3 2 2 2 4 2 2 3" xfId="7996" xr:uid="{1AF53478-46E2-4B63-99D4-49F84AA8C045}"/>
    <cellStyle name="Įprastas 5 3 2 2 2 4 2 2 4" xfId="4540" xr:uid="{7895BBFF-D145-44D8-8B70-7C6CB9B63D86}"/>
    <cellStyle name="Įprastas 5 3 2 2 2 4 2 2_8 priedas" xfId="9370" xr:uid="{538AAB3E-43BE-4D61-987D-8D931E21310C}"/>
    <cellStyle name="Įprastas 5 3 2 2 2 4 2 3" xfId="2811" xr:uid="{9D169D5D-BB93-4C5D-A9AE-D5E159D8341C}"/>
    <cellStyle name="Įprastas 5 3 2 2 2 4 2 3 2" xfId="5404" xr:uid="{6035EBAE-8154-4658-9825-06BD9689641E}"/>
    <cellStyle name="Įprastas 5 3 2 2 2 4 2 3_8 priedas" xfId="9371" xr:uid="{694FBE99-2CB1-41F5-BC1E-8CF8C4CE7E85}"/>
    <cellStyle name="Įprastas 5 3 2 2 2 4 2 4" xfId="7132" xr:uid="{BD354FEF-2C4C-49F0-9F6C-4C35ADE22E99}"/>
    <cellStyle name="Įprastas 5 3 2 2 2 4 2 5" xfId="3676" xr:uid="{7204F037-D62E-4B9B-9A43-8C82ECCFE81D}"/>
    <cellStyle name="Įprastas 5 3 2 2 2 4 2_8 priedas" xfId="9369" xr:uid="{0726B0E9-5271-49A6-A973-06243BF96613}"/>
    <cellStyle name="Įprastas 5 3 2 2 2 4 3" xfId="1779" xr:uid="{AB54E16D-CD29-4653-985C-E733E52B9678}"/>
    <cellStyle name="Įprastas 5 3 2 2 2 4 3 2" xfId="5880" xr:uid="{F562BDC4-3BE7-4993-8DB4-A0C77F1BE2E5}"/>
    <cellStyle name="Įprastas 5 3 2 2 2 4 3 3" xfId="7608" xr:uid="{068F2CA8-617A-440B-9A3C-2B088EA9B6D6}"/>
    <cellStyle name="Įprastas 5 3 2 2 2 4 3 4" xfId="4152" xr:uid="{608354AC-D071-4775-B267-4141F6AF712E}"/>
    <cellStyle name="Įprastas 5 3 2 2 2 4 3_8 priedas" xfId="9372" xr:uid="{17E3AA68-CB4C-441F-8C64-1652F2982812}"/>
    <cellStyle name="Įprastas 5 3 2 2 2 4 4" xfId="2423" xr:uid="{4333AF78-F3BF-40C0-8085-48196827F628}"/>
    <cellStyle name="Įprastas 5 3 2 2 2 4 4 2" xfId="5016" xr:uid="{1C01F3D5-2D91-4E26-925B-E34AAC086E84}"/>
    <cellStyle name="Įprastas 5 3 2 2 2 4 4_8 priedas" xfId="9373" xr:uid="{C2AA3AF0-F501-412D-AC50-C3AE78C7B8BE}"/>
    <cellStyle name="Įprastas 5 3 2 2 2 4 5" xfId="6744" xr:uid="{586550E6-198A-4461-88DD-F17AF34722F4}"/>
    <cellStyle name="Įprastas 5 3 2 2 2 4 6" xfId="3288" xr:uid="{F1232B97-C65C-4203-9BED-7D2912904275}"/>
    <cellStyle name="Įprastas 5 3 2 2 2 4_8 priedas" xfId="962" xr:uid="{00000000-0005-0000-0000-0000B3020000}"/>
    <cellStyle name="Įprastas 5 3 2 2 2 5" xfId="259" xr:uid="{00000000-0005-0000-0000-0000B4020000}"/>
    <cellStyle name="Įprastas 5 3 2 2 2 5 2" xfId="807" xr:uid="{00000000-0005-0000-0000-0000B5020000}"/>
    <cellStyle name="Įprastas 5 3 2 2 2 5 2 2" xfId="1780" xr:uid="{C2B911AE-A88B-4335-83E3-B60B8C95ECF7}"/>
    <cellStyle name="Įprastas 5 3 2 2 2 5 2 2 2" xfId="6412" xr:uid="{BCD65227-C443-4553-A1F4-7BA9D7EA6605}"/>
    <cellStyle name="Įprastas 5 3 2 2 2 5 2 2 3" xfId="8140" xr:uid="{25CF5D8A-E225-48F4-B914-1DBB2BC2CC9F}"/>
    <cellStyle name="Įprastas 5 3 2 2 2 5 2 2 4" xfId="4684" xr:uid="{8E59313E-CD4A-4049-B4C5-2A810F500498}"/>
    <cellStyle name="Įprastas 5 3 2 2 2 5 2 2_8 priedas" xfId="9375" xr:uid="{E1B90CC5-CFA6-44DA-AB5E-D000C56831C9}"/>
    <cellStyle name="Įprastas 5 3 2 2 2 5 2 3" xfId="2955" xr:uid="{BCB47A6E-EE4A-41A1-B8DC-72A114A6DCE8}"/>
    <cellStyle name="Įprastas 5 3 2 2 2 5 2 3 2" xfId="5548" xr:uid="{C50EB1A2-6F9C-4E65-8A03-35677ACED2E3}"/>
    <cellStyle name="Įprastas 5 3 2 2 2 5 2 3_8 priedas" xfId="9376" xr:uid="{D4093D22-A705-46D2-972C-8D85886A254B}"/>
    <cellStyle name="Įprastas 5 3 2 2 2 5 2 4" xfId="7276" xr:uid="{E694D403-F4AA-4003-A8CF-123627B36A4E}"/>
    <cellStyle name="Įprastas 5 3 2 2 2 5 2 5" xfId="3820" xr:uid="{BA5FBE48-833B-41FF-A902-022EA4E48263}"/>
    <cellStyle name="Įprastas 5 3 2 2 2 5 2_8 priedas" xfId="9374" xr:uid="{E683FD13-E49C-4D35-AD95-C905D9CDB75F}"/>
    <cellStyle name="Įprastas 5 3 2 2 2 5 3" xfId="1781" xr:uid="{72A42A2D-CF46-42F0-B883-6D2D1B8504EF}"/>
    <cellStyle name="Įprastas 5 3 2 2 2 5 3 2" xfId="5881" xr:uid="{332FD26F-AE8C-439F-9E80-7A35FA3785C0}"/>
    <cellStyle name="Įprastas 5 3 2 2 2 5 3 3" xfId="7609" xr:uid="{E896CC63-80AE-4960-813C-B04A8AC006CB}"/>
    <cellStyle name="Įprastas 5 3 2 2 2 5 3 4" xfId="4153" xr:uid="{2C8FDADD-530E-456B-A0AB-E45838D95CFC}"/>
    <cellStyle name="Įprastas 5 3 2 2 2 5 3_8 priedas" xfId="9377" xr:uid="{797386FD-CA4F-4533-B1F4-640C70AFDF3F}"/>
    <cellStyle name="Įprastas 5 3 2 2 2 5 4" xfId="2424" xr:uid="{825106EB-92EA-4F0B-98C7-722BE8679C80}"/>
    <cellStyle name="Įprastas 5 3 2 2 2 5 4 2" xfId="5017" xr:uid="{2EF88E15-4DCC-499B-8C94-8A43321EAA13}"/>
    <cellStyle name="Įprastas 5 3 2 2 2 5 4_8 priedas" xfId="9378" xr:uid="{FC25BDEA-E6B3-4BD9-9231-8DD3BC8DAE1A}"/>
    <cellStyle name="Įprastas 5 3 2 2 2 5 5" xfId="6745" xr:uid="{B63EE6AC-6FC2-435B-8CB0-1273B48CF3E4}"/>
    <cellStyle name="Įprastas 5 3 2 2 2 5 6" xfId="3289" xr:uid="{68C4091B-F980-4AD1-94FF-398ED4530BBC}"/>
    <cellStyle name="Įprastas 5 3 2 2 2 5_8 priedas" xfId="933" xr:uid="{00000000-0005-0000-0000-0000B6020000}"/>
    <cellStyle name="Įprastas 5 3 2 2 2 6" xfId="519" xr:uid="{00000000-0005-0000-0000-0000B7020000}"/>
    <cellStyle name="Įprastas 5 3 2 2 2 6 2" xfId="1782" xr:uid="{16B87ACB-3501-4641-AF42-580C61FC98BA}"/>
    <cellStyle name="Įprastas 5 3 2 2 2 6 2 2" xfId="6124" xr:uid="{D9AAFF4C-609C-4FDB-8B17-97E9BA97A495}"/>
    <cellStyle name="Įprastas 5 3 2 2 2 6 2 3" xfId="7852" xr:uid="{336E83E6-75D0-43EE-939F-B561081DB445}"/>
    <cellStyle name="Įprastas 5 3 2 2 2 6 2 4" xfId="4396" xr:uid="{B9F448E1-F8C2-4F6A-826A-2B18DA3AC2CA}"/>
    <cellStyle name="Įprastas 5 3 2 2 2 6 2_8 priedas" xfId="9380" xr:uid="{1844DC2B-F46D-4C75-B2C0-A042CB7E0AC0}"/>
    <cellStyle name="Įprastas 5 3 2 2 2 6 3" xfId="2667" xr:uid="{3AC6A618-018D-4343-8CF8-C2ADF59FC309}"/>
    <cellStyle name="Įprastas 5 3 2 2 2 6 3 2" xfId="5260" xr:uid="{D8AB8CAC-96A2-4977-9320-E67D70E8F77E}"/>
    <cellStyle name="Įprastas 5 3 2 2 2 6 3_8 priedas" xfId="9381" xr:uid="{C62AB488-9DFB-44A4-A0CF-77860A086DDA}"/>
    <cellStyle name="Įprastas 5 3 2 2 2 6 4" xfId="6988" xr:uid="{9099440D-5DD5-4A5C-831D-A49745446FB2}"/>
    <cellStyle name="Įprastas 5 3 2 2 2 6 5" xfId="3532" xr:uid="{146DBCAC-E70B-443B-BD7A-C5FE4499CEF8}"/>
    <cellStyle name="Įprastas 5 3 2 2 2 6_8 priedas" xfId="9379" xr:uid="{5E5EBD29-8A40-4133-B34F-AAD77537B143}"/>
    <cellStyle name="Įprastas 5 3 2 2 2 7" xfId="1783" xr:uid="{C1393C38-FD4E-43F4-9718-FAC5A44F9F23}"/>
    <cellStyle name="Įprastas 5 3 2 2 2 7 2" xfId="5873" xr:uid="{5A9386C2-F2C1-45F5-ADE7-8922F199E957}"/>
    <cellStyle name="Įprastas 5 3 2 2 2 7 3" xfId="7601" xr:uid="{464816FB-6B04-4CF8-A53F-837EA582ABE6}"/>
    <cellStyle name="Įprastas 5 3 2 2 2 7 4" xfId="4145" xr:uid="{5ECE1E57-975B-49AA-8580-86CD8441480E}"/>
    <cellStyle name="Įprastas 5 3 2 2 2 7_8 priedas" xfId="9382" xr:uid="{7DA1770F-BA48-4D50-829E-58627CD5262F}"/>
    <cellStyle name="Įprastas 5 3 2 2 2 8" xfId="2416" xr:uid="{B3F4F30D-07CA-4C5C-94F3-8AE380ED79C4}"/>
    <cellStyle name="Įprastas 5 3 2 2 2 8 2" xfId="5009" xr:uid="{BF9B3417-9DDC-4165-A4B4-F329AC080F6A}"/>
    <cellStyle name="Įprastas 5 3 2 2 2 8_8 priedas" xfId="9383" xr:uid="{BCFC4E74-045F-4ACE-8F1A-BFF7E27D4835}"/>
    <cellStyle name="Įprastas 5 3 2 2 2 9" xfId="6737" xr:uid="{D665D4D0-390B-4644-98E8-55002B83B2BD}"/>
    <cellStyle name="Įprastas 5 3 2 2 2_8 priedas" xfId="1099" xr:uid="{00000000-0005-0000-0000-0000B8020000}"/>
    <cellStyle name="Įprastas 5 3 2 2 3" xfId="260" xr:uid="{00000000-0005-0000-0000-0000B9020000}"/>
    <cellStyle name="Įprastas 5 3 2 2 3 2" xfId="261" xr:uid="{00000000-0005-0000-0000-0000BA020000}"/>
    <cellStyle name="Įprastas 5 3 2 2 3 2 2" xfId="687" xr:uid="{00000000-0005-0000-0000-0000BB020000}"/>
    <cellStyle name="Įprastas 5 3 2 2 3 2 2 2" xfId="1784" xr:uid="{C0AC47FD-9BD6-433A-86B6-9D6B18BA0BEF}"/>
    <cellStyle name="Įprastas 5 3 2 2 3 2 2 2 2" xfId="6292" xr:uid="{4225929D-AD14-49E0-AE13-3C6161E3E403}"/>
    <cellStyle name="Įprastas 5 3 2 2 3 2 2 2 3" xfId="8020" xr:uid="{AAEB0CAA-2824-4D13-BE10-6AB8A2547E5A}"/>
    <cellStyle name="Įprastas 5 3 2 2 3 2 2 2 4" xfId="4564" xr:uid="{3508BC09-2038-4094-906E-A0DD2AA50B43}"/>
    <cellStyle name="Įprastas 5 3 2 2 3 2 2 2_8 priedas" xfId="9385" xr:uid="{5384602B-B0B1-4EE9-8693-07EA1624C5CC}"/>
    <cellStyle name="Įprastas 5 3 2 2 3 2 2 3" xfId="2835" xr:uid="{86A60622-58A7-4109-BA61-FDAD89C6E075}"/>
    <cellStyle name="Įprastas 5 3 2 2 3 2 2 3 2" xfId="5428" xr:uid="{12493293-8D58-45B8-ACB9-1C6CE8C8BC4A}"/>
    <cellStyle name="Įprastas 5 3 2 2 3 2 2 3_8 priedas" xfId="9386" xr:uid="{367163E2-6F8B-4493-A2D8-02CA570395CE}"/>
    <cellStyle name="Įprastas 5 3 2 2 3 2 2 4" xfId="7156" xr:uid="{DC3304F0-AF38-4E86-8983-464120BF126D}"/>
    <cellStyle name="Įprastas 5 3 2 2 3 2 2 5" xfId="3700" xr:uid="{5B6CD56F-5A7A-4C9F-99BD-8765C8CD5AF1}"/>
    <cellStyle name="Įprastas 5 3 2 2 3 2 2_8 priedas" xfId="9384" xr:uid="{706422FE-8981-4F1A-8217-2027AB735962}"/>
    <cellStyle name="Įprastas 5 3 2 2 3 2 3" xfId="1785" xr:uid="{73331AC6-69EA-48CA-9E14-2C8CD61082B6}"/>
    <cellStyle name="Įprastas 5 3 2 2 3 2 3 2" xfId="5883" xr:uid="{62CDAC46-6F34-402E-B87F-457710EC06CA}"/>
    <cellStyle name="Įprastas 5 3 2 2 3 2 3 3" xfId="7611" xr:uid="{34CE7B41-636B-41D9-AA3C-7E0661A1E18F}"/>
    <cellStyle name="Įprastas 5 3 2 2 3 2 3 4" xfId="4155" xr:uid="{134F71EA-12E7-4300-9137-04FF2EA1B123}"/>
    <cellStyle name="Įprastas 5 3 2 2 3 2 3_8 priedas" xfId="9387" xr:uid="{FDFDC1CD-8894-435E-9D22-81953095BACB}"/>
    <cellStyle name="Įprastas 5 3 2 2 3 2 4" xfId="2426" xr:uid="{AE9F1FDC-DD48-49AE-B06C-2197819D4496}"/>
    <cellStyle name="Įprastas 5 3 2 2 3 2 4 2" xfId="5019" xr:uid="{EDF2CDC3-5B04-441D-9AA6-694AD1784F5A}"/>
    <cellStyle name="Įprastas 5 3 2 2 3 2 4_8 priedas" xfId="9388" xr:uid="{28478DF8-9018-4F50-B8BB-2193AA2A6701}"/>
    <cellStyle name="Įprastas 5 3 2 2 3 2 5" xfId="6747" xr:uid="{1DEE784C-C4AA-4D2B-861B-1DDAD964C6C4}"/>
    <cellStyle name="Įprastas 5 3 2 2 3 2 6" xfId="3291" xr:uid="{27EA07C2-95B6-4795-AD8B-7D59E156B973}"/>
    <cellStyle name="Įprastas 5 3 2 2 3 2_8 priedas" xfId="909" xr:uid="{00000000-0005-0000-0000-0000BC020000}"/>
    <cellStyle name="Įprastas 5 3 2 2 3 3" xfId="262" xr:uid="{00000000-0005-0000-0000-0000BD020000}"/>
    <cellStyle name="Įprastas 5 3 2 2 3 3 2" xfId="831" xr:uid="{00000000-0005-0000-0000-0000BE020000}"/>
    <cellStyle name="Įprastas 5 3 2 2 3 3 2 2" xfId="1786" xr:uid="{1415EF9D-537C-43B1-A50B-404A629FB11F}"/>
    <cellStyle name="Įprastas 5 3 2 2 3 3 2 2 2" xfId="6436" xr:uid="{D6BFBD38-CC03-40FB-9A23-A790DF2B28B8}"/>
    <cellStyle name="Įprastas 5 3 2 2 3 3 2 2 3" xfId="8164" xr:uid="{9D22D1F9-0A4D-4FE1-B569-3579B4D1026D}"/>
    <cellStyle name="Įprastas 5 3 2 2 3 3 2 2 4" xfId="4708" xr:uid="{FE628F4D-7D2D-4180-9E53-36F89BA961C9}"/>
    <cellStyle name="Įprastas 5 3 2 2 3 3 2 2_8 priedas" xfId="9390" xr:uid="{B9334F9E-C69A-42FA-B372-5B207FA6DCE7}"/>
    <cellStyle name="Įprastas 5 3 2 2 3 3 2 3" xfId="2979" xr:uid="{460D9D6A-AB32-475D-960C-39ECBDD4D0DB}"/>
    <cellStyle name="Įprastas 5 3 2 2 3 3 2 3 2" xfId="5572" xr:uid="{C73A4832-A233-4C21-8CA2-47F01B72C860}"/>
    <cellStyle name="Įprastas 5 3 2 2 3 3 2 3_8 priedas" xfId="9391" xr:uid="{46B8E177-E4AD-4822-8C22-D74C34181DE5}"/>
    <cellStyle name="Įprastas 5 3 2 2 3 3 2 4" xfId="7300" xr:uid="{FB2A80E3-34EC-4D21-BF6A-3F581A226098}"/>
    <cellStyle name="Įprastas 5 3 2 2 3 3 2 5" xfId="3844" xr:uid="{FEAAD3F9-1D95-4C8A-8D89-43D7BBBBBFF2}"/>
    <cellStyle name="Įprastas 5 3 2 2 3 3 2_8 priedas" xfId="9389" xr:uid="{2F7C0FEA-D14F-43AD-B91B-224C761ED289}"/>
    <cellStyle name="Įprastas 5 3 2 2 3 3 3" xfId="1787" xr:uid="{F4A20D74-1597-4512-9298-5C30F7C4D25A}"/>
    <cellStyle name="Įprastas 5 3 2 2 3 3 3 2" xfId="5884" xr:uid="{4AD1D6F3-28C3-4888-87E8-D7FAFEBCE8DE}"/>
    <cellStyle name="Įprastas 5 3 2 2 3 3 3 3" xfId="7612" xr:uid="{980D2E84-5075-4F78-80DC-54F54AE3E575}"/>
    <cellStyle name="Įprastas 5 3 2 2 3 3 3 4" xfId="4156" xr:uid="{21F22D01-4388-4DC3-B04F-195EE1D10267}"/>
    <cellStyle name="Įprastas 5 3 2 2 3 3 3_8 priedas" xfId="9392" xr:uid="{CE699B5F-0505-46E2-8670-D5E3ECBEDEBB}"/>
    <cellStyle name="Įprastas 5 3 2 2 3 3 4" xfId="2427" xr:uid="{0BE99CB5-ED37-4F04-A0A2-68F84E839276}"/>
    <cellStyle name="Įprastas 5 3 2 2 3 3 4 2" xfId="5020" xr:uid="{BE4E0B93-9E31-4D31-8618-FC07F46DBEFE}"/>
    <cellStyle name="Įprastas 5 3 2 2 3 3 4_8 priedas" xfId="9393" xr:uid="{61C5764A-0E54-483A-B938-7D57A73D2C01}"/>
    <cellStyle name="Įprastas 5 3 2 2 3 3 5" xfId="6748" xr:uid="{3B8E5310-E0A8-4208-8FB9-1E64860886EF}"/>
    <cellStyle name="Įprastas 5 3 2 2 3 3 6" xfId="3292" xr:uid="{8F4594DD-6661-438B-9DAF-FA86B72D54C9}"/>
    <cellStyle name="Įprastas 5 3 2 2 3 3_8 priedas" xfId="913" xr:uid="{00000000-0005-0000-0000-0000BF020000}"/>
    <cellStyle name="Įprastas 5 3 2 2 3 4" xfId="543" xr:uid="{00000000-0005-0000-0000-0000C0020000}"/>
    <cellStyle name="Įprastas 5 3 2 2 3 4 2" xfId="1788" xr:uid="{F64E6610-357B-4518-91F3-3CBE3C07424A}"/>
    <cellStyle name="Įprastas 5 3 2 2 3 4 2 2" xfId="6148" xr:uid="{B9F5FD22-DDD7-4588-897E-BBAC102604F9}"/>
    <cellStyle name="Įprastas 5 3 2 2 3 4 2 3" xfId="7876" xr:uid="{A532C67B-4E9B-434D-B48B-C1F87C7527E5}"/>
    <cellStyle name="Įprastas 5 3 2 2 3 4 2 4" xfId="4420" xr:uid="{7BEC65F3-0E51-4C11-B720-359E0C2B3D52}"/>
    <cellStyle name="Įprastas 5 3 2 2 3 4 2_8 priedas" xfId="9395" xr:uid="{3179351A-E6E5-4A19-B84B-31180E77ACCC}"/>
    <cellStyle name="Įprastas 5 3 2 2 3 4 3" xfId="2691" xr:uid="{CD7622AB-9908-4B9C-ABFF-C78E881D2AFE}"/>
    <cellStyle name="Įprastas 5 3 2 2 3 4 3 2" xfId="5284" xr:uid="{83171DD8-2BFA-42CE-B984-3AEB28C55FDC}"/>
    <cellStyle name="Įprastas 5 3 2 2 3 4 3_8 priedas" xfId="9396" xr:uid="{212DFB11-8A99-44C4-9BD1-FBA040A7081B}"/>
    <cellStyle name="Įprastas 5 3 2 2 3 4 4" xfId="7012" xr:uid="{7F120594-099D-49C7-BCB7-14F2B2D551A6}"/>
    <cellStyle name="Įprastas 5 3 2 2 3 4 5" xfId="3556" xr:uid="{4263F603-EF2E-4BB3-903D-9696CB35CD20}"/>
    <cellStyle name="Įprastas 5 3 2 2 3 4_8 priedas" xfId="9394" xr:uid="{4C3CC52C-6D7E-42D9-A660-8084D7DCBC29}"/>
    <cellStyle name="Įprastas 5 3 2 2 3 5" xfId="1789" xr:uid="{73A285A7-CFFA-4781-8227-20EADB8123D4}"/>
    <cellStyle name="Įprastas 5 3 2 2 3 5 2" xfId="5882" xr:uid="{FA6FC8F2-A65E-43BC-89AF-56A95F42A473}"/>
    <cellStyle name="Įprastas 5 3 2 2 3 5 3" xfId="7610" xr:uid="{216BA57F-AAA2-4BA7-B9EA-DBD4276F274E}"/>
    <cellStyle name="Įprastas 5 3 2 2 3 5 4" xfId="4154" xr:uid="{E16CF7D8-05F2-4456-B2A3-C9F98E351FBD}"/>
    <cellStyle name="Įprastas 5 3 2 2 3 5_8 priedas" xfId="9397" xr:uid="{A62F1B9B-489B-4670-984B-84DF3B27663D}"/>
    <cellStyle name="Įprastas 5 3 2 2 3 6" xfId="2425" xr:uid="{FD86588D-7C61-4DEE-81C2-BF0BD9D6BC74}"/>
    <cellStyle name="Įprastas 5 3 2 2 3 6 2" xfId="5018" xr:uid="{B8B7E0A6-3C20-4F4E-9DF9-2A8E4BD437D0}"/>
    <cellStyle name="Įprastas 5 3 2 2 3 6_8 priedas" xfId="9398" xr:uid="{85A6D2B4-7928-4473-9E3F-42F09EC4516D}"/>
    <cellStyle name="Įprastas 5 3 2 2 3 7" xfId="6746" xr:uid="{09C14E43-F3CC-42B6-8F8C-563421936F60}"/>
    <cellStyle name="Įprastas 5 3 2 2 3 8" xfId="3290" xr:uid="{5DD8D747-5D05-410B-A162-6FCA2F9D2F20}"/>
    <cellStyle name="Įprastas 5 3 2 2 3_8 priedas" xfId="916" xr:uid="{00000000-0005-0000-0000-0000C1020000}"/>
    <cellStyle name="Įprastas 5 3 2 2 4" xfId="263" xr:uid="{00000000-0005-0000-0000-0000C2020000}"/>
    <cellStyle name="Įprastas 5 3 2 2 4 2" xfId="264" xr:uid="{00000000-0005-0000-0000-0000C3020000}"/>
    <cellStyle name="Įprastas 5 3 2 2 4 2 2" xfId="735" xr:uid="{00000000-0005-0000-0000-0000C4020000}"/>
    <cellStyle name="Įprastas 5 3 2 2 4 2 2 2" xfId="1790" xr:uid="{D6ECFB23-D351-437F-914E-90E05B3980F3}"/>
    <cellStyle name="Įprastas 5 3 2 2 4 2 2 2 2" xfId="6340" xr:uid="{FC3374DF-67BB-4A2B-AE00-6FC87AEC7452}"/>
    <cellStyle name="Įprastas 5 3 2 2 4 2 2 2 3" xfId="8068" xr:uid="{CB37D29A-532B-4393-9F03-9E90F53F617F}"/>
    <cellStyle name="Įprastas 5 3 2 2 4 2 2 2 4" xfId="4612" xr:uid="{4BE3FE1D-1A42-4791-B330-D699381CBB4E}"/>
    <cellStyle name="Įprastas 5 3 2 2 4 2 2 2_8 priedas" xfId="9400" xr:uid="{B1C4F7C1-E031-494D-A51B-85E02A3B0B13}"/>
    <cellStyle name="Įprastas 5 3 2 2 4 2 2 3" xfId="2883" xr:uid="{CA29F414-6B16-48FE-8877-52F25EC290BB}"/>
    <cellStyle name="Įprastas 5 3 2 2 4 2 2 3 2" xfId="5476" xr:uid="{D9443FEA-E79B-4784-8FC0-74A6CE0FDBC0}"/>
    <cellStyle name="Įprastas 5 3 2 2 4 2 2 3_8 priedas" xfId="9401" xr:uid="{3B4CB440-F515-4278-946D-F0A7B74995A9}"/>
    <cellStyle name="Įprastas 5 3 2 2 4 2 2 4" xfId="7204" xr:uid="{33F14A29-032C-49C5-9BD3-2FC0AB67E067}"/>
    <cellStyle name="Įprastas 5 3 2 2 4 2 2 5" xfId="3748" xr:uid="{CDD3CE5A-42E0-436B-9420-743A7049E9E4}"/>
    <cellStyle name="Įprastas 5 3 2 2 4 2 2_8 priedas" xfId="9399" xr:uid="{D983864A-80AB-4468-80DC-8E6E53311B32}"/>
    <cellStyle name="Įprastas 5 3 2 2 4 2 3" xfId="1791" xr:uid="{FD3AFE77-299A-4774-AB7B-A362C7646BD8}"/>
    <cellStyle name="Įprastas 5 3 2 2 4 2 3 2" xfId="5886" xr:uid="{7B5F8155-D612-4310-BF3D-63A086CBC1D9}"/>
    <cellStyle name="Įprastas 5 3 2 2 4 2 3 3" xfId="7614" xr:uid="{1196F51D-87D5-41C5-B41E-DF2EDD05443F}"/>
    <cellStyle name="Įprastas 5 3 2 2 4 2 3 4" xfId="4158" xr:uid="{BB41CCB6-FC3A-41C3-9970-5E39D5D2CAA7}"/>
    <cellStyle name="Įprastas 5 3 2 2 4 2 3_8 priedas" xfId="9402" xr:uid="{478369F7-04CE-4862-AD2A-D9FED40F0543}"/>
    <cellStyle name="Įprastas 5 3 2 2 4 2 4" xfId="2429" xr:uid="{5E6055A5-E098-4285-95A2-263B160DE743}"/>
    <cellStyle name="Įprastas 5 3 2 2 4 2 4 2" xfId="5022" xr:uid="{5BEB73C7-4577-4AFC-8178-6713E4E1595F}"/>
    <cellStyle name="Įprastas 5 3 2 2 4 2 4_8 priedas" xfId="9403" xr:uid="{CCE0A370-0824-434A-BA10-ED5A247D9673}"/>
    <cellStyle name="Įprastas 5 3 2 2 4 2 5" xfId="6750" xr:uid="{7DEA1B04-4CB4-4958-9ED8-A186E76F1D93}"/>
    <cellStyle name="Įprastas 5 3 2 2 4 2 6" xfId="3294" xr:uid="{FB420EA7-507C-40C5-8AB5-77C93833FFB7}"/>
    <cellStyle name="Įprastas 5 3 2 2 4 2_8 priedas" xfId="1279" xr:uid="{00000000-0005-0000-0000-0000C5020000}"/>
    <cellStyle name="Įprastas 5 3 2 2 4 3" xfId="265" xr:uid="{00000000-0005-0000-0000-0000C6020000}"/>
    <cellStyle name="Įprastas 5 3 2 2 4 3 2" xfId="879" xr:uid="{00000000-0005-0000-0000-0000C7020000}"/>
    <cellStyle name="Įprastas 5 3 2 2 4 3 2 2" xfId="1792" xr:uid="{98624655-3127-487F-AAE4-D014C04A4796}"/>
    <cellStyle name="Įprastas 5 3 2 2 4 3 2 2 2" xfId="6484" xr:uid="{CDF7ABC4-AA02-413F-BE73-B6747A053419}"/>
    <cellStyle name="Įprastas 5 3 2 2 4 3 2 2 3" xfId="8212" xr:uid="{62E09611-ADDF-46A1-990A-8B5119ACEE28}"/>
    <cellStyle name="Įprastas 5 3 2 2 4 3 2 2 4" xfId="4756" xr:uid="{33F143AF-4BCA-4057-A3E4-97E7D85114A0}"/>
    <cellStyle name="Įprastas 5 3 2 2 4 3 2 2_8 priedas" xfId="9405" xr:uid="{4DCD8CBA-13AF-430E-91E6-32B34FE6F49D}"/>
    <cellStyle name="Įprastas 5 3 2 2 4 3 2 3" xfId="3027" xr:uid="{6F63B1DB-EAB5-454E-B413-C4C35C651F5A}"/>
    <cellStyle name="Įprastas 5 3 2 2 4 3 2 3 2" xfId="5620" xr:uid="{84B70C32-5322-49E3-BD62-0C13ADA1C1E4}"/>
    <cellStyle name="Įprastas 5 3 2 2 4 3 2 3_8 priedas" xfId="9406" xr:uid="{150DF011-D771-4F1F-B6AC-BA001FADA6C3}"/>
    <cellStyle name="Įprastas 5 3 2 2 4 3 2 4" xfId="7348" xr:uid="{A05736BC-35FE-4EB3-81DA-5FC8455F86EA}"/>
    <cellStyle name="Įprastas 5 3 2 2 4 3 2 5" xfId="3892" xr:uid="{E9DE9A13-9458-444E-B1FE-17C645A5E826}"/>
    <cellStyle name="Įprastas 5 3 2 2 4 3 2_8 priedas" xfId="9404" xr:uid="{1377B783-6DDE-4034-8608-EF2CA30062E5}"/>
    <cellStyle name="Įprastas 5 3 2 2 4 3 3" xfId="1793" xr:uid="{870CFB1A-824B-4A76-A5F0-E018D2253B44}"/>
    <cellStyle name="Įprastas 5 3 2 2 4 3 3 2" xfId="5887" xr:uid="{BC67CBBB-963E-4F3E-A126-E569610659A4}"/>
    <cellStyle name="Įprastas 5 3 2 2 4 3 3 3" xfId="7615" xr:uid="{42B8E952-7073-4722-808A-1ABE44705369}"/>
    <cellStyle name="Įprastas 5 3 2 2 4 3 3 4" xfId="4159" xr:uid="{76D1C952-A49F-4619-A4A8-D1B57AB059EC}"/>
    <cellStyle name="Įprastas 5 3 2 2 4 3 3_8 priedas" xfId="9407" xr:uid="{538A2B40-2587-40C3-9E87-C1410452687F}"/>
    <cellStyle name="Įprastas 5 3 2 2 4 3 4" xfId="2430" xr:uid="{B50B2F17-EE84-4E11-A2A4-DE8A5D61CBB8}"/>
    <cellStyle name="Įprastas 5 3 2 2 4 3 4 2" xfId="5023" xr:uid="{B059EF80-3993-4A45-8C0B-3C8294C91874}"/>
    <cellStyle name="Įprastas 5 3 2 2 4 3 4_8 priedas" xfId="9408" xr:uid="{8C7ED7EB-3FFE-479F-9CE1-483C06036CC6}"/>
    <cellStyle name="Įprastas 5 3 2 2 4 3 5" xfId="6751" xr:uid="{D44518F2-EA44-475F-B2FB-03F017FA066E}"/>
    <cellStyle name="Įprastas 5 3 2 2 4 3 6" xfId="3295" xr:uid="{46346261-7B86-4143-9E2E-F8D1F29015CF}"/>
    <cellStyle name="Įprastas 5 3 2 2 4 3_8 priedas" xfId="1143" xr:uid="{00000000-0005-0000-0000-0000C8020000}"/>
    <cellStyle name="Įprastas 5 3 2 2 4 4" xfId="591" xr:uid="{00000000-0005-0000-0000-0000C9020000}"/>
    <cellStyle name="Įprastas 5 3 2 2 4 4 2" xfId="1794" xr:uid="{1C044219-C8A7-492D-8538-80706A1DC3F0}"/>
    <cellStyle name="Įprastas 5 3 2 2 4 4 2 2" xfId="6196" xr:uid="{10ED5CB8-59ED-4A4F-9A8A-E8332C3B7DE2}"/>
    <cellStyle name="Įprastas 5 3 2 2 4 4 2 3" xfId="7924" xr:uid="{EF99A31B-C884-4EE9-BEAD-E7DC1B6E26A4}"/>
    <cellStyle name="Įprastas 5 3 2 2 4 4 2 4" xfId="4468" xr:uid="{CBB196D6-CA71-4052-86A7-92F54D8CA308}"/>
    <cellStyle name="Įprastas 5 3 2 2 4 4 2_8 priedas" xfId="9410" xr:uid="{D3DC3914-3747-41BC-8098-9AB9CCAF9275}"/>
    <cellStyle name="Įprastas 5 3 2 2 4 4 3" xfId="2739" xr:uid="{C4421B53-D2B5-49AE-B0FB-575EB59FDA82}"/>
    <cellStyle name="Įprastas 5 3 2 2 4 4 3 2" xfId="5332" xr:uid="{9FE9B033-39FD-4CF8-8A01-906E46A79BC7}"/>
    <cellStyle name="Įprastas 5 3 2 2 4 4 3_8 priedas" xfId="9411" xr:uid="{ED4F13C6-2ED0-41AE-9437-A86EBD656E2E}"/>
    <cellStyle name="Įprastas 5 3 2 2 4 4 4" xfId="7060" xr:uid="{18103E69-652C-4EF3-9CC4-E45777219918}"/>
    <cellStyle name="Įprastas 5 3 2 2 4 4 5" xfId="3604" xr:uid="{BB22F7FD-8091-40A4-8766-EEE6C069A067}"/>
    <cellStyle name="Įprastas 5 3 2 2 4 4_8 priedas" xfId="9409" xr:uid="{BD032928-B8FF-4809-84EF-CC62FD44C69F}"/>
    <cellStyle name="Įprastas 5 3 2 2 4 5" xfId="1795" xr:uid="{B4DD0631-45C3-4D53-A4BF-BEBE4DD82D07}"/>
    <cellStyle name="Įprastas 5 3 2 2 4 5 2" xfId="5885" xr:uid="{45815518-ED41-46B0-A563-A8C38C3A0478}"/>
    <cellStyle name="Įprastas 5 3 2 2 4 5 3" xfId="7613" xr:uid="{ABDB6147-76BD-4374-9CCD-C48103C6992F}"/>
    <cellStyle name="Įprastas 5 3 2 2 4 5 4" xfId="4157" xr:uid="{3566871C-AECC-49CD-94EB-109EE4E84856}"/>
    <cellStyle name="Įprastas 5 3 2 2 4 5_8 priedas" xfId="9412" xr:uid="{EA9E0216-559B-41C6-A895-453FBF1FE248}"/>
    <cellStyle name="Įprastas 5 3 2 2 4 6" xfId="2428" xr:uid="{FB6BAE39-5FF1-4323-856F-EE1FC75DB335}"/>
    <cellStyle name="Įprastas 5 3 2 2 4 6 2" xfId="5021" xr:uid="{D5A8CF20-63E8-4277-8664-BC7D751D1B77}"/>
    <cellStyle name="Įprastas 5 3 2 2 4 6_8 priedas" xfId="9413" xr:uid="{B56763B0-08EA-4310-860E-BE70698C5F16}"/>
    <cellStyle name="Įprastas 5 3 2 2 4 7" xfId="6749" xr:uid="{A8C83E05-BC75-4587-8274-0EBBB5991F07}"/>
    <cellStyle name="Įprastas 5 3 2 2 4 8" xfId="3293" xr:uid="{B3DF04CB-4943-4148-AB10-DC162C6BDE7D}"/>
    <cellStyle name="Įprastas 5 3 2 2 4_8 priedas" xfId="1054" xr:uid="{00000000-0005-0000-0000-0000CA020000}"/>
    <cellStyle name="Įprastas 5 3 2 2 5" xfId="266" xr:uid="{00000000-0005-0000-0000-0000CB020000}"/>
    <cellStyle name="Įprastas 5 3 2 2 5 2" xfId="639" xr:uid="{00000000-0005-0000-0000-0000CC020000}"/>
    <cellStyle name="Įprastas 5 3 2 2 5 2 2" xfId="1796" xr:uid="{7CF30688-943C-4026-83D0-84D64F8307F2}"/>
    <cellStyle name="Įprastas 5 3 2 2 5 2 2 2" xfId="6244" xr:uid="{0F3238A7-56D0-42B3-BC14-E7955DAB41D3}"/>
    <cellStyle name="Įprastas 5 3 2 2 5 2 2 3" xfId="7972" xr:uid="{D07DE07A-D966-41B7-B413-AAAB30D783F4}"/>
    <cellStyle name="Įprastas 5 3 2 2 5 2 2 4" xfId="4516" xr:uid="{B09EA89A-4A5C-4520-A77C-3CACF155BDCE}"/>
    <cellStyle name="Įprastas 5 3 2 2 5 2 2_8 priedas" xfId="9415" xr:uid="{3E2FE8BC-05C5-46F7-9FE8-76B3B235BF74}"/>
    <cellStyle name="Įprastas 5 3 2 2 5 2 3" xfId="2787" xr:uid="{062E9A67-D453-42CB-A910-E38043FFEA2D}"/>
    <cellStyle name="Įprastas 5 3 2 2 5 2 3 2" xfId="5380" xr:uid="{1D0E6066-9992-48D1-ADBC-E75B232E5973}"/>
    <cellStyle name="Įprastas 5 3 2 2 5 2 3_8 priedas" xfId="9416" xr:uid="{CEB1DC2A-5271-4D1F-AA67-2C5FE324C45B}"/>
    <cellStyle name="Įprastas 5 3 2 2 5 2 4" xfId="7108" xr:uid="{25D8A5F4-3366-4141-9675-2BD4C23970DF}"/>
    <cellStyle name="Įprastas 5 3 2 2 5 2 5" xfId="3652" xr:uid="{EEAAB4CD-C553-4356-BB6D-414897D1EE05}"/>
    <cellStyle name="Įprastas 5 3 2 2 5 2_8 priedas" xfId="9414" xr:uid="{DC78885C-0CBC-4295-966D-FB5DEFCAFAD3}"/>
    <cellStyle name="Įprastas 5 3 2 2 5 3" xfId="1797" xr:uid="{BA617316-82FE-4992-BFE6-E111096F94C0}"/>
    <cellStyle name="Įprastas 5 3 2 2 5 3 2" xfId="5888" xr:uid="{EF8DE120-70C4-4532-A700-3132BBCCA7E5}"/>
    <cellStyle name="Įprastas 5 3 2 2 5 3 3" xfId="7616" xr:uid="{7074A1D2-3087-42C6-9F6C-36684A9801BA}"/>
    <cellStyle name="Įprastas 5 3 2 2 5 3 4" xfId="4160" xr:uid="{95794F3B-D17D-4747-AD71-271F8C7F17DB}"/>
    <cellStyle name="Įprastas 5 3 2 2 5 3_8 priedas" xfId="9417" xr:uid="{6E369DE6-D502-4CF7-80AA-D6F5A6971FFC}"/>
    <cellStyle name="Įprastas 5 3 2 2 5 4" xfId="2431" xr:uid="{010A22FA-08F8-4BA4-81E1-F3B3E19957F5}"/>
    <cellStyle name="Įprastas 5 3 2 2 5 4 2" xfId="5024" xr:uid="{883D23EE-3210-42C9-BBF5-063853E69BAF}"/>
    <cellStyle name="Įprastas 5 3 2 2 5 4_8 priedas" xfId="9418" xr:uid="{F4A601C7-537A-487F-96B4-899464B0ECEB}"/>
    <cellStyle name="Įprastas 5 3 2 2 5 5" xfId="6752" xr:uid="{2ABF741C-1A91-4CAC-A59C-A5078CBF50A7}"/>
    <cellStyle name="Įprastas 5 3 2 2 5 6" xfId="3296" xr:uid="{8FDDF306-D3CB-4870-8397-34B576601945}"/>
    <cellStyle name="Įprastas 5 3 2 2 5_8 priedas" xfId="1007" xr:uid="{00000000-0005-0000-0000-0000CD020000}"/>
    <cellStyle name="Įprastas 5 3 2 2 6" xfId="267" xr:uid="{00000000-0005-0000-0000-0000CE020000}"/>
    <cellStyle name="Įprastas 5 3 2 2 6 2" xfId="783" xr:uid="{00000000-0005-0000-0000-0000CF020000}"/>
    <cellStyle name="Įprastas 5 3 2 2 6 2 2" xfId="1798" xr:uid="{DB43181E-669A-47C6-A093-A5D975B0795D}"/>
    <cellStyle name="Įprastas 5 3 2 2 6 2 2 2" xfId="6388" xr:uid="{FFA56903-4EED-4B0F-9F19-40808E3E1D21}"/>
    <cellStyle name="Įprastas 5 3 2 2 6 2 2 3" xfId="8116" xr:uid="{190349E1-1D35-4308-A426-2CA6E29BCEC2}"/>
    <cellStyle name="Įprastas 5 3 2 2 6 2 2 4" xfId="4660" xr:uid="{74144DDC-CA28-44F3-BD96-F91A5B2636C1}"/>
    <cellStyle name="Įprastas 5 3 2 2 6 2 2_8 priedas" xfId="9420" xr:uid="{2C859E0C-05A5-424F-A93A-E2F9F7C15C63}"/>
    <cellStyle name="Įprastas 5 3 2 2 6 2 3" xfId="2931" xr:uid="{DD60BA1A-48E0-4AD1-AEED-DF46050114F7}"/>
    <cellStyle name="Įprastas 5 3 2 2 6 2 3 2" xfId="5524" xr:uid="{B409F7DA-E818-4921-88CD-025C235258A6}"/>
    <cellStyle name="Įprastas 5 3 2 2 6 2 3_8 priedas" xfId="9421" xr:uid="{C4C59680-3E52-470A-93F6-BCAC8AE39CE5}"/>
    <cellStyle name="Įprastas 5 3 2 2 6 2 4" xfId="7252" xr:uid="{D2512BBB-6283-4DDA-A83C-1A499CCD3B34}"/>
    <cellStyle name="Įprastas 5 3 2 2 6 2 5" xfId="3796" xr:uid="{6E04DC1C-4397-4ACB-AAED-A3496AB73501}"/>
    <cellStyle name="Įprastas 5 3 2 2 6 2_8 priedas" xfId="9419" xr:uid="{F953CC8E-68A8-4EE2-B824-D3A7109DD249}"/>
    <cellStyle name="Įprastas 5 3 2 2 6 3" xfId="1799" xr:uid="{4E118079-0A32-439E-B84B-0534094E0AAE}"/>
    <cellStyle name="Įprastas 5 3 2 2 6 3 2" xfId="5889" xr:uid="{7D461C4D-5514-466E-A230-DAE3B18ECF3C}"/>
    <cellStyle name="Įprastas 5 3 2 2 6 3 3" xfId="7617" xr:uid="{405ADE04-A379-4334-9AE7-1F1CAF52FA5C}"/>
    <cellStyle name="Įprastas 5 3 2 2 6 3 4" xfId="4161" xr:uid="{C291D810-3C6C-45BC-8FFE-4EBA0A0075A0}"/>
    <cellStyle name="Įprastas 5 3 2 2 6 3_8 priedas" xfId="9422" xr:uid="{9E60F18F-4248-478A-B854-1271F7EB104A}"/>
    <cellStyle name="Įprastas 5 3 2 2 6 4" xfId="2432" xr:uid="{16FB3229-325C-429D-AA12-9E37123933E5}"/>
    <cellStyle name="Įprastas 5 3 2 2 6 4 2" xfId="5025" xr:uid="{94B89737-BD94-433D-99C5-B1D17B6025EE}"/>
    <cellStyle name="Įprastas 5 3 2 2 6 4_8 priedas" xfId="9423" xr:uid="{E851DD46-3F0A-4502-8E00-8367A08E3E15}"/>
    <cellStyle name="Įprastas 5 3 2 2 6 5" xfId="6753" xr:uid="{BFA08D47-43D2-4E43-93B2-9E2E035C6D4A}"/>
    <cellStyle name="Įprastas 5 3 2 2 6 6" xfId="3297" xr:uid="{64F54130-41FB-4581-A104-2A876AB195B1}"/>
    <cellStyle name="Įprastas 5 3 2 2 6_8 priedas" xfId="1233" xr:uid="{00000000-0005-0000-0000-0000D0020000}"/>
    <cellStyle name="Įprastas 5 3 2 2 7" xfId="495" xr:uid="{00000000-0005-0000-0000-0000D1020000}"/>
    <cellStyle name="Įprastas 5 3 2 2 7 2" xfId="1800" xr:uid="{C319265E-DB82-4CB7-9D1D-AB576006C875}"/>
    <cellStyle name="Įprastas 5 3 2 2 7 2 2" xfId="6100" xr:uid="{87140039-7AD3-4F75-8B1F-3AD26AF4C72E}"/>
    <cellStyle name="Įprastas 5 3 2 2 7 2 3" xfId="7828" xr:uid="{356A48D2-C33D-4291-9EA8-BA9C538EA76A}"/>
    <cellStyle name="Įprastas 5 3 2 2 7 2 4" xfId="4372" xr:uid="{213355F3-A839-4BE5-8CA4-CB7299C25F7A}"/>
    <cellStyle name="Įprastas 5 3 2 2 7 2_8 priedas" xfId="9425" xr:uid="{F072BE8F-FB9D-42F2-8123-649F2D16C997}"/>
    <cellStyle name="Įprastas 5 3 2 2 7 3" xfId="2643" xr:uid="{9A8FB8B3-D4BD-4767-864D-13463E37A739}"/>
    <cellStyle name="Įprastas 5 3 2 2 7 3 2" xfId="5236" xr:uid="{C2EAA9CD-FF80-448D-B73F-382E42B5E4C4}"/>
    <cellStyle name="Įprastas 5 3 2 2 7 3_8 priedas" xfId="9426" xr:uid="{27303C5A-E8AA-450C-B08E-C6FE43963240}"/>
    <cellStyle name="Įprastas 5 3 2 2 7 4" xfId="6964" xr:uid="{F41892E3-5392-47FD-A022-BB58DF6C6AB8}"/>
    <cellStyle name="Įprastas 5 3 2 2 7 5" xfId="3508" xr:uid="{DE0DE8AD-DF50-4C15-AD48-7BBE3EE21B64}"/>
    <cellStyle name="Įprastas 5 3 2 2 7_8 priedas" xfId="9424" xr:uid="{903210D4-842B-40ED-848B-AD69BC73CB9D}"/>
    <cellStyle name="Įprastas 5 3 2 2 8" xfId="1801" xr:uid="{C4DF07C7-1E29-43EC-8A09-637BA576A88D}"/>
    <cellStyle name="Įprastas 5 3 2 2 8 2" xfId="5872" xr:uid="{F9AA127C-1956-4827-9173-A9B04DAA0AFB}"/>
    <cellStyle name="Įprastas 5 3 2 2 8 3" xfId="7600" xr:uid="{7BB79BF6-A276-4279-8BA6-DF6C37D45DC3}"/>
    <cellStyle name="Įprastas 5 3 2 2 8 4" xfId="4144" xr:uid="{13C29ABE-0226-4334-8926-959E9D3646ED}"/>
    <cellStyle name="Įprastas 5 3 2 2 8_8 priedas" xfId="9427" xr:uid="{CF61D4A1-877E-4DF0-AA6C-B49E30C67E55}"/>
    <cellStyle name="Įprastas 5 3 2 2 9" xfId="2415" xr:uid="{40734A63-8910-4543-A03F-3FD41D6919AB}"/>
    <cellStyle name="Įprastas 5 3 2 2 9 2" xfId="5008" xr:uid="{28D88093-8389-469F-B385-1ADA0043D823}"/>
    <cellStyle name="Įprastas 5 3 2 2 9_8 priedas" xfId="9428" xr:uid="{332E0390-FF1E-4BD0-8E61-21104F1C15B8}"/>
    <cellStyle name="Įprastas 5 3 2 2_8 priedas" xfId="1231" xr:uid="{00000000-0005-0000-0000-0000D2020000}"/>
    <cellStyle name="Įprastas 5 3 2 3" xfId="268" xr:uid="{00000000-0005-0000-0000-0000D3020000}"/>
    <cellStyle name="Įprastas 5 3 2 3 10" xfId="3298" xr:uid="{76B65792-FBB1-42B8-A3E4-AF79E5BFB7C2}"/>
    <cellStyle name="Įprastas 5 3 2 3 2" xfId="269" xr:uid="{00000000-0005-0000-0000-0000D4020000}"/>
    <cellStyle name="Įprastas 5 3 2 3 2 2" xfId="270" xr:uid="{00000000-0005-0000-0000-0000D5020000}"/>
    <cellStyle name="Įprastas 5 3 2 3 2 2 2" xfId="699" xr:uid="{00000000-0005-0000-0000-0000D6020000}"/>
    <cellStyle name="Įprastas 5 3 2 3 2 2 2 2" xfId="1802" xr:uid="{6171181E-4EDC-4C2C-AF72-E4597B6A73EF}"/>
    <cellStyle name="Įprastas 5 3 2 3 2 2 2 2 2" xfId="6304" xr:uid="{9FADD7F5-2AE7-46EA-A34F-EBF69C8B3E22}"/>
    <cellStyle name="Įprastas 5 3 2 3 2 2 2 2 3" xfId="8032" xr:uid="{7BB65E18-B5AB-4C0D-813D-14A1963BF914}"/>
    <cellStyle name="Įprastas 5 3 2 3 2 2 2 2 4" xfId="4576" xr:uid="{274D53AF-EA91-4AD5-988A-1DFFA46F1A7A}"/>
    <cellStyle name="Įprastas 5 3 2 3 2 2 2 2_8 priedas" xfId="9430" xr:uid="{36EE7EE4-E647-418C-AE20-5B3D62956462}"/>
    <cellStyle name="Įprastas 5 3 2 3 2 2 2 3" xfId="2847" xr:uid="{323BA096-53C1-4B5F-B897-FE35E2B95175}"/>
    <cellStyle name="Įprastas 5 3 2 3 2 2 2 3 2" xfId="5440" xr:uid="{BA320CA8-AC63-4296-A276-6BCF0E781D92}"/>
    <cellStyle name="Įprastas 5 3 2 3 2 2 2 3_8 priedas" xfId="9431" xr:uid="{57C3C3BF-8168-47BB-85C5-F9FF441F1D4E}"/>
    <cellStyle name="Įprastas 5 3 2 3 2 2 2 4" xfId="7168" xr:uid="{BA976D68-741F-4EB5-9F32-108B70F643EC}"/>
    <cellStyle name="Įprastas 5 3 2 3 2 2 2 5" xfId="3712" xr:uid="{4ED2530A-CBEE-4A42-93DC-D3614EC73DF0}"/>
    <cellStyle name="Įprastas 5 3 2 3 2 2 2_8 priedas" xfId="9429" xr:uid="{67AC0FE9-7D4E-4DA1-8ED4-228755DE0A25}"/>
    <cellStyle name="Įprastas 5 3 2 3 2 2 3" xfId="1803" xr:uid="{9ABA0899-4E2B-46F4-A845-D3C6A66A8397}"/>
    <cellStyle name="Įprastas 5 3 2 3 2 2 3 2" xfId="5892" xr:uid="{768D3478-BF79-4DE5-91EF-2C6532C974AA}"/>
    <cellStyle name="Įprastas 5 3 2 3 2 2 3 3" xfId="7620" xr:uid="{B8A97041-A8EA-4CF4-B13D-02953167D5D2}"/>
    <cellStyle name="Įprastas 5 3 2 3 2 2 3 4" xfId="4164" xr:uid="{13707C9F-50DD-4928-9972-8FA1281D9FF6}"/>
    <cellStyle name="Įprastas 5 3 2 3 2 2 3_8 priedas" xfId="9432" xr:uid="{344B28B2-98ED-4468-A997-F1A334E21BC0}"/>
    <cellStyle name="Įprastas 5 3 2 3 2 2 4" xfId="2435" xr:uid="{8EF50AAF-9983-485C-A4D1-6F5C2A186A4E}"/>
    <cellStyle name="Įprastas 5 3 2 3 2 2 4 2" xfId="5028" xr:uid="{3F17FED7-5C5D-4015-898D-2203D95F5AFD}"/>
    <cellStyle name="Įprastas 5 3 2 3 2 2 4_8 priedas" xfId="9433" xr:uid="{8977A68A-3852-4422-83D3-9086D8D94D4A}"/>
    <cellStyle name="Įprastas 5 3 2 3 2 2 5" xfId="6756" xr:uid="{45ADA087-856B-42F1-9D06-3C83963BA7D0}"/>
    <cellStyle name="Įprastas 5 3 2 3 2 2 6" xfId="3300" xr:uid="{FDC5A7EC-AED0-4B9A-9AC7-DC6E2FB662F3}"/>
    <cellStyle name="Įprastas 5 3 2 3 2 2_8 priedas" xfId="1214" xr:uid="{00000000-0005-0000-0000-0000D7020000}"/>
    <cellStyle name="Įprastas 5 3 2 3 2 3" xfId="271" xr:uid="{00000000-0005-0000-0000-0000D8020000}"/>
    <cellStyle name="Įprastas 5 3 2 3 2 3 2" xfId="843" xr:uid="{00000000-0005-0000-0000-0000D9020000}"/>
    <cellStyle name="Įprastas 5 3 2 3 2 3 2 2" xfId="1804" xr:uid="{0AD7C4B2-85E6-482B-A847-AA78E2F822BA}"/>
    <cellStyle name="Įprastas 5 3 2 3 2 3 2 2 2" xfId="6448" xr:uid="{FBD2FBFE-9432-49A2-A0C9-38318569E26A}"/>
    <cellStyle name="Įprastas 5 3 2 3 2 3 2 2 3" xfId="8176" xr:uid="{0F18E555-81DA-4ABC-BFF6-017F552D1F7B}"/>
    <cellStyle name="Įprastas 5 3 2 3 2 3 2 2 4" xfId="4720" xr:uid="{BF24007E-3E45-4E22-9629-41C9E5934D93}"/>
    <cellStyle name="Įprastas 5 3 2 3 2 3 2 2_8 priedas" xfId="9435" xr:uid="{7784C538-8B20-43AC-85A2-EE643AF2E18F}"/>
    <cellStyle name="Įprastas 5 3 2 3 2 3 2 3" xfId="2991" xr:uid="{471E0F12-FCFE-4784-B97F-916B57B3CC49}"/>
    <cellStyle name="Įprastas 5 3 2 3 2 3 2 3 2" xfId="5584" xr:uid="{4F5D2E1A-6E88-4408-8403-5EDB24C69919}"/>
    <cellStyle name="Įprastas 5 3 2 3 2 3 2 3_8 priedas" xfId="9436" xr:uid="{ECD8C81B-CF8D-4CE4-93D7-626249521420}"/>
    <cellStyle name="Įprastas 5 3 2 3 2 3 2 4" xfId="7312" xr:uid="{87C79F9D-7BBE-4A38-BBC6-F0D2CBB54C95}"/>
    <cellStyle name="Įprastas 5 3 2 3 2 3 2 5" xfId="3856" xr:uid="{F090A014-6E5A-4D1E-BC01-10EC3CDE4634}"/>
    <cellStyle name="Įprastas 5 3 2 3 2 3 2_8 priedas" xfId="9434" xr:uid="{5E619358-B583-43FC-B716-4EA5B3CD7ED7}"/>
    <cellStyle name="Įprastas 5 3 2 3 2 3 3" xfId="1805" xr:uid="{B72B8171-809D-498A-B134-2612A39A4DEE}"/>
    <cellStyle name="Įprastas 5 3 2 3 2 3 3 2" xfId="5893" xr:uid="{0C8A4953-3205-4B3F-88D6-E2C0C54AB970}"/>
    <cellStyle name="Įprastas 5 3 2 3 2 3 3 3" xfId="7621" xr:uid="{6B0771A9-B9EA-49CC-AEA2-DD187D9581F1}"/>
    <cellStyle name="Įprastas 5 3 2 3 2 3 3 4" xfId="4165" xr:uid="{885D1CFE-F9CE-49B5-8DDF-6E429E978DC8}"/>
    <cellStyle name="Įprastas 5 3 2 3 2 3 3_8 priedas" xfId="9437" xr:uid="{203B4CBD-1E0C-494A-BBF7-DCEA8F5CA447}"/>
    <cellStyle name="Įprastas 5 3 2 3 2 3 4" xfId="2436" xr:uid="{F29844CC-8309-4F6A-9CA9-1DF8760B83C4}"/>
    <cellStyle name="Įprastas 5 3 2 3 2 3 4 2" xfId="5029" xr:uid="{A6B7A10C-E41A-46BD-A4A5-430B3266B75D}"/>
    <cellStyle name="Įprastas 5 3 2 3 2 3 4_8 priedas" xfId="9438" xr:uid="{EA93553D-24D0-4BD9-B726-F19ACDBAF5B0}"/>
    <cellStyle name="Įprastas 5 3 2 3 2 3 5" xfId="6757" xr:uid="{6ADCAF7E-F817-4785-BE8F-BE2399834DDB}"/>
    <cellStyle name="Įprastas 5 3 2 3 2 3 6" xfId="3301" xr:uid="{8C69FAE6-9726-4EB0-918D-EF42670134C9}"/>
    <cellStyle name="Įprastas 5 3 2 3 2 3_8 priedas" xfId="1080" xr:uid="{00000000-0005-0000-0000-0000DA020000}"/>
    <cellStyle name="Įprastas 5 3 2 3 2 4" xfId="555" xr:uid="{00000000-0005-0000-0000-0000DB020000}"/>
    <cellStyle name="Įprastas 5 3 2 3 2 4 2" xfId="1806" xr:uid="{16A15BBC-69EB-42CA-A480-4C1FA993609C}"/>
    <cellStyle name="Įprastas 5 3 2 3 2 4 2 2" xfId="6160" xr:uid="{51929ED6-D5FC-4F3C-B2CB-9C4C7C33154A}"/>
    <cellStyle name="Įprastas 5 3 2 3 2 4 2 3" xfId="7888" xr:uid="{22B66B53-FA92-4DA1-8130-51BEFCB55E74}"/>
    <cellStyle name="Įprastas 5 3 2 3 2 4 2 4" xfId="4432" xr:uid="{E5BAA5A3-5DC7-4E90-8D4E-335E9E716AA0}"/>
    <cellStyle name="Įprastas 5 3 2 3 2 4 2_8 priedas" xfId="9440" xr:uid="{FF7779F0-B766-4AC3-A946-3B336E738B0C}"/>
    <cellStyle name="Įprastas 5 3 2 3 2 4 3" xfId="2703" xr:uid="{E7488E42-D463-4B08-8C7B-8E930B28089E}"/>
    <cellStyle name="Įprastas 5 3 2 3 2 4 3 2" xfId="5296" xr:uid="{F4C61F54-A779-4C6E-9DCA-479AC2AF65FD}"/>
    <cellStyle name="Įprastas 5 3 2 3 2 4 3_8 priedas" xfId="9441" xr:uid="{2AA951CF-9C4B-4453-9BB2-DE30F1A7BF12}"/>
    <cellStyle name="Įprastas 5 3 2 3 2 4 4" xfId="7024" xr:uid="{31EC6AA1-8916-4A88-A43D-17EB6338786E}"/>
    <cellStyle name="Įprastas 5 3 2 3 2 4 5" xfId="3568" xr:uid="{9C76E702-2D82-40A5-8212-FBE5AA0ADA73}"/>
    <cellStyle name="Įprastas 5 3 2 3 2 4_8 priedas" xfId="9439" xr:uid="{C3C65CA5-06B5-4E61-8FA4-8FE79881D47D}"/>
    <cellStyle name="Įprastas 5 3 2 3 2 5" xfId="1807" xr:uid="{2583C2FE-B2D7-477F-8FF8-16DC8C7715C3}"/>
    <cellStyle name="Įprastas 5 3 2 3 2 5 2" xfId="5891" xr:uid="{D0F56AED-FAC9-46A1-A85F-9CC5BF3D8E45}"/>
    <cellStyle name="Įprastas 5 3 2 3 2 5 3" xfId="7619" xr:uid="{555EC8E2-BB9D-45A7-AA91-659371536C0B}"/>
    <cellStyle name="Įprastas 5 3 2 3 2 5 4" xfId="4163" xr:uid="{745763EC-3C27-4CEA-AEAF-52267200575F}"/>
    <cellStyle name="Įprastas 5 3 2 3 2 5_8 priedas" xfId="9442" xr:uid="{6C688E58-A84C-4DEE-83BA-8DAD2C24175F}"/>
    <cellStyle name="Įprastas 5 3 2 3 2 6" xfId="2434" xr:uid="{2C80D139-4F96-42C5-8552-E9AB54E87B0E}"/>
    <cellStyle name="Įprastas 5 3 2 3 2 6 2" xfId="5027" xr:uid="{57B34170-7B7A-4A57-9C44-A17FAB15C097}"/>
    <cellStyle name="Įprastas 5 3 2 3 2 6_8 priedas" xfId="9443" xr:uid="{BCC6E40F-BFBF-4BC6-8F50-6DB8F4A13490}"/>
    <cellStyle name="Įprastas 5 3 2 3 2 7" xfId="6755" xr:uid="{44E10159-B474-4BDC-9655-A179953A6E1A}"/>
    <cellStyle name="Įprastas 5 3 2 3 2 8" xfId="3299" xr:uid="{78F6DF65-B876-4469-8774-BBCCE003DBE5}"/>
    <cellStyle name="Įprastas 5 3 2 3 2_8 priedas" xfId="966" xr:uid="{00000000-0005-0000-0000-0000DC020000}"/>
    <cellStyle name="Įprastas 5 3 2 3 3" xfId="272" xr:uid="{00000000-0005-0000-0000-0000DD020000}"/>
    <cellStyle name="Įprastas 5 3 2 3 3 2" xfId="273" xr:uid="{00000000-0005-0000-0000-0000DE020000}"/>
    <cellStyle name="Įprastas 5 3 2 3 3 2 2" xfId="747" xr:uid="{00000000-0005-0000-0000-0000DF020000}"/>
    <cellStyle name="Įprastas 5 3 2 3 3 2 2 2" xfId="1808" xr:uid="{264B7974-365E-4DA7-B5D9-15299E8B36BB}"/>
    <cellStyle name="Įprastas 5 3 2 3 3 2 2 2 2" xfId="6352" xr:uid="{0144DEE0-071C-4C5E-936A-82123A98825E}"/>
    <cellStyle name="Įprastas 5 3 2 3 3 2 2 2 3" xfId="8080" xr:uid="{8810A077-F18C-4C6A-B5EC-2D2081073B0E}"/>
    <cellStyle name="Įprastas 5 3 2 3 3 2 2 2 4" xfId="4624" xr:uid="{5459D58A-EBB2-4CB4-981F-B207FA52258D}"/>
    <cellStyle name="Įprastas 5 3 2 3 3 2 2 2_8 priedas" xfId="9445" xr:uid="{01134BC6-5F25-4BDD-BF44-60378A493F49}"/>
    <cellStyle name="Įprastas 5 3 2 3 3 2 2 3" xfId="2895" xr:uid="{AEFF2E1F-87C5-40DD-880D-283023F400A8}"/>
    <cellStyle name="Įprastas 5 3 2 3 3 2 2 3 2" xfId="5488" xr:uid="{E5A6BCF1-56F7-4ED5-B355-901DB5FF7FB3}"/>
    <cellStyle name="Įprastas 5 3 2 3 3 2 2 3_8 priedas" xfId="9446" xr:uid="{9BA79081-89FC-4BFC-BA1B-28E5DD925729}"/>
    <cellStyle name="Įprastas 5 3 2 3 3 2 2 4" xfId="7216" xr:uid="{19D66460-6EE5-458E-81D7-461CF8E7968D}"/>
    <cellStyle name="Įprastas 5 3 2 3 3 2 2 5" xfId="3760" xr:uid="{AFC1011F-B816-4D2A-8610-E961CF65FFDD}"/>
    <cellStyle name="Įprastas 5 3 2 3 3 2 2_8 priedas" xfId="9444" xr:uid="{0790228E-9E5A-47DF-860A-F2BE78D6A479}"/>
    <cellStyle name="Įprastas 5 3 2 3 3 2 3" xfId="1809" xr:uid="{5634E0B1-DAD5-4C91-A8EC-8E4EC52C3960}"/>
    <cellStyle name="Įprastas 5 3 2 3 3 2 3 2" xfId="5895" xr:uid="{29DC767F-C952-42F4-B2C0-4FB818747590}"/>
    <cellStyle name="Įprastas 5 3 2 3 3 2 3 3" xfId="7623" xr:uid="{62BDC7B2-19F9-46BE-82A6-058130B1C1B8}"/>
    <cellStyle name="Įprastas 5 3 2 3 3 2 3 4" xfId="4167" xr:uid="{E1D8811C-193B-46F1-9D84-910443726364}"/>
    <cellStyle name="Įprastas 5 3 2 3 3 2 3_8 priedas" xfId="9447" xr:uid="{517E4A77-ECEA-4FB9-A47B-08757DF7510F}"/>
    <cellStyle name="Įprastas 5 3 2 3 3 2 4" xfId="2438" xr:uid="{9DC742F3-E312-442C-AA24-571BBF2AAD71}"/>
    <cellStyle name="Įprastas 5 3 2 3 3 2 4 2" xfId="5031" xr:uid="{B9CB8980-F5EC-40F3-9BE7-F642EAAF27E1}"/>
    <cellStyle name="Įprastas 5 3 2 3 3 2 4_8 priedas" xfId="9448" xr:uid="{36248CD7-F18C-4D88-9AE0-42792C1BAE49}"/>
    <cellStyle name="Įprastas 5 3 2 3 3 2 5" xfId="6759" xr:uid="{01F09BCF-8950-425A-A0CC-68C4E5859EB5}"/>
    <cellStyle name="Įprastas 5 3 2 3 3 2 6" xfId="3303" xr:uid="{94FFD764-E2E7-43DE-ABE5-A30779F67E99}"/>
    <cellStyle name="Įprastas 5 3 2 3 3 2_8 priedas" xfId="1168" xr:uid="{00000000-0005-0000-0000-0000E0020000}"/>
    <cellStyle name="Įprastas 5 3 2 3 3 3" xfId="274" xr:uid="{00000000-0005-0000-0000-0000E1020000}"/>
    <cellStyle name="Įprastas 5 3 2 3 3 3 2" xfId="891" xr:uid="{00000000-0005-0000-0000-0000E2020000}"/>
    <cellStyle name="Įprastas 5 3 2 3 3 3 2 2" xfId="1810" xr:uid="{4173E4BE-ED66-4454-B376-5DC798687D22}"/>
    <cellStyle name="Įprastas 5 3 2 3 3 3 2 2 2" xfId="6496" xr:uid="{455D608F-79E0-46BF-993B-95F931B36C88}"/>
    <cellStyle name="Įprastas 5 3 2 3 3 3 2 2 3" xfId="8224" xr:uid="{03D11733-CB50-45F2-BA6B-357558F4C368}"/>
    <cellStyle name="Įprastas 5 3 2 3 3 3 2 2 4" xfId="4768" xr:uid="{6615D098-54D3-4697-BE63-C05D7ABB8F30}"/>
    <cellStyle name="Įprastas 5 3 2 3 3 3 2 2_8 priedas" xfId="9450" xr:uid="{C8039017-04FA-4F28-9011-DEEB4FA8BA88}"/>
    <cellStyle name="Įprastas 5 3 2 3 3 3 2 3" xfId="3039" xr:uid="{B21475A7-826C-4839-9982-8A5FB0FF7CB6}"/>
    <cellStyle name="Įprastas 5 3 2 3 3 3 2 3 2" xfId="5632" xr:uid="{68B81A97-B800-49A9-9B1A-104B77833F18}"/>
    <cellStyle name="Įprastas 5 3 2 3 3 3 2 3_8 priedas" xfId="9451" xr:uid="{1F491632-DAD8-4BA7-A6CF-A8EAFFC4BC3B}"/>
    <cellStyle name="Įprastas 5 3 2 3 3 3 2 4" xfId="7360" xr:uid="{38FC961F-9B8E-44AC-BE18-647BE0FDAAC1}"/>
    <cellStyle name="Įprastas 5 3 2 3 3 3 2 5" xfId="3904" xr:uid="{FB76FCE4-6346-463E-880A-678D2071CFF1}"/>
    <cellStyle name="Įprastas 5 3 2 3 3 3 2_8 priedas" xfId="9449" xr:uid="{FA701C9C-13D4-4D61-B77A-C624F2764932}"/>
    <cellStyle name="Įprastas 5 3 2 3 3 3 3" xfId="1811" xr:uid="{60EBE31B-2EA2-4926-ACE3-822023E2A353}"/>
    <cellStyle name="Įprastas 5 3 2 3 3 3 3 2" xfId="5896" xr:uid="{2A606E90-76CC-466F-992D-27AD59E3829E}"/>
    <cellStyle name="Įprastas 5 3 2 3 3 3 3 3" xfId="7624" xr:uid="{630667FE-72F6-4F37-9F98-865267B28E6B}"/>
    <cellStyle name="Įprastas 5 3 2 3 3 3 3 4" xfId="4168" xr:uid="{B7F09E4E-BADA-44A5-8C37-FAF4720455EA}"/>
    <cellStyle name="Įprastas 5 3 2 3 3 3 3_8 priedas" xfId="9452" xr:uid="{03823428-12D8-48D5-B5CB-ED4E0216ACAE}"/>
    <cellStyle name="Įprastas 5 3 2 3 3 3 4" xfId="2439" xr:uid="{18FE32D7-34BD-45D2-876D-1572360561B4}"/>
    <cellStyle name="Įprastas 5 3 2 3 3 3 4 2" xfId="5032" xr:uid="{2B2B5337-8F06-47EC-89F8-A1BCE5796FB8}"/>
    <cellStyle name="Įprastas 5 3 2 3 3 3 4_8 priedas" xfId="9453" xr:uid="{08B8A091-5962-4D34-9D0D-631E912BEE11}"/>
    <cellStyle name="Įprastas 5 3 2 3 3 3 5" xfId="6760" xr:uid="{F808F58E-7DB9-4D16-A527-E3984B87BC89}"/>
    <cellStyle name="Įprastas 5 3 2 3 3 3 6" xfId="3304" xr:uid="{6ACB64A1-742C-4655-84B4-C8E05BD143DB}"/>
    <cellStyle name="Įprastas 5 3 2 3 3 3_8 priedas" xfId="1032" xr:uid="{00000000-0005-0000-0000-0000E3020000}"/>
    <cellStyle name="Įprastas 5 3 2 3 3 4" xfId="603" xr:uid="{00000000-0005-0000-0000-0000E4020000}"/>
    <cellStyle name="Įprastas 5 3 2 3 3 4 2" xfId="1812" xr:uid="{A4F8AA74-0A13-4AA9-BF1C-6C012B7D9774}"/>
    <cellStyle name="Įprastas 5 3 2 3 3 4 2 2" xfId="6208" xr:uid="{A243AB7D-EBEA-414B-9C6E-EB0549B83EE8}"/>
    <cellStyle name="Įprastas 5 3 2 3 3 4 2 3" xfId="7936" xr:uid="{78E0C859-1CF4-4937-9509-321549B5400F}"/>
    <cellStyle name="Įprastas 5 3 2 3 3 4 2 4" xfId="4480" xr:uid="{9D7540EC-10D1-4902-A4F7-42A1A8E15723}"/>
    <cellStyle name="Įprastas 5 3 2 3 3 4 2_8 priedas" xfId="9455" xr:uid="{20B1C32B-6E6E-40C3-9252-8D993228DF6D}"/>
    <cellStyle name="Įprastas 5 3 2 3 3 4 3" xfId="2751" xr:uid="{D561CCA5-95BF-43F4-93AB-471F642FE642}"/>
    <cellStyle name="Įprastas 5 3 2 3 3 4 3 2" xfId="5344" xr:uid="{EF093F7B-266F-466E-BA73-B3C6787EC588}"/>
    <cellStyle name="Įprastas 5 3 2 3 3 4 3_8 priedas" xfId="9456" xr:uid="{9AEAD743-E768-49F6-8787-135E045B480C}"/>
    <cellStyle name="Įprastas 5 3 2 3 3 4 4" xfId="7072" xr:uid="{54824681-3262-4F4B-B6AA-118F80AE71B3}"/>
    <cellStyle name="Įprastas 5 3 2 3 3 4 5" xfId="3616" xr:uid="{1C032DF8-8EA9-499F-8A61-01DEFB432E83}"/>
    <cellStyle name="Įprastas 5 3 2 3 3 4_8 priedas" xfId="9454" xr:uid="{147A550A-88F9-4A0A-A898-9FC6EF0628FD}"/>
    <cellStyle name="Įprastas 5 3 2 3 3 5" xfId="1813" xr:uid="{0C9C40A6-ED0B-4283-920B-0813267B9B3A}"/>
    <cellStyle name="Įprastas 5 3 2 3 3 5 2" xfId="5894" xr:uid="{E1B3ED1D-E582-470F-A52A-EBFED640196F}"/>
    <cellStyle name="Įprastas 5 3 2 3 3 5 3" xfId="7622" xr:uid="{BE335502-8660-4A39-A5FA-9D7838EDBF65}"/>
    <cellStyle name="Įprastas 5 3 2 3 3 5 4" xfId="4166" xr:uid="{59D3E6E9-BA24-456E-AFC4-3EEFDABBA061}"/>
    <cellStyle name="Įprastas 5 3 2 3 3 5_8 priedas" xfId="9457" xr:uid="{C228EC2F-CA60-422C-97D2-84B8D7F440F1}"/>
    <cellStyle name="Įprastas 5 3 2 3 3 6" xfId="2437" xr:uid="{E37443BD-E802-4E27-80E9-6A74C60C2F06}"/>
    <cellStyle name="Įprastas 5 3 2 3 3 6 2" xfId="5030" xr:uid="{64B55C1C-9703-43AD-8ACC-047EB5019686}"/>
    <cellStyle name="Įprastas 5 3 2 3 3 6_8 priedas" xfId="9458" xr:uid="{90977E9D-4DB9-4E13-8947-D3DD50660969}"/>
    <cellStyle name="Įprastas 5 3 2 3 3 7" xfId="6758" xr:uid="{D357CD8B-D241-4F84-AA12-483EC169EE58}"/>
    <cellStyle name="Įprastas 5 3 2 3 3 8" xfId="3302" xr:uid="{B0949FF4-AFF5-400F-AB93-D8108E2DD079}"/>
    <cellStyle name="Įprastas 5 3 2 3 3_8 priedas" xfId="1305" xr:uid="{00000000-0005-0000-0000-0000E5020000}"/>
    <cellStyle name="Įprastas 5 3 2 3 4" xfId="275" xr:uid="{00000000-0005-0000-0000-0000E6020000}"/>
    <cellStyle name="Įprastas 5 3 2 3 4 2" xfId="651" xr:uid="{00000000-0005-0000-0000-0000E7020000}"/>
    <cellStyle name="Įprastas 5 3 2 3 4 2 2" xfId="1814" xr:uid="{B3EC15A1-7214-4968-B1A4-F876254D4D3E}"/>
    <cellStyle name="Įprastas 5 3 2 3 4 2 2 2" xfId="6256" xr:uid="{8705C200-FC66-4F39-942E-F5757FCBCF08}"/>
    <cellStyle name="Įprastas 5 3 2 3 4 2 2 3" xfId="7984" xr:uid="{6220290D-4F36-4F56-B788-8A627879D60E}"/>
    <cellStyle name="Įprastas 5 3 2 3 4 2 2 4" xfId="4528" xr:uid="{ADB25979-F939-4286-8ADA-7B6760D7FD73}"/>
    <cellStyle name="Įprastas 5 3 2 3 4 2 2_8 priedas" xfId="9460" xr:uid="{6BFDB466-49FF-424A-8946-52BE5CC27E2C}"/>
    <cellStyle name="Įprastas 5 3 2 3 4 2 3" xfId="2799" xr:uid="{4DF64368-CDF7-4CB0-9A7F-225E5133591F}"/>
    <cellStyle name="Įprastas 5 3 2 3 4 2 3 2" xfId="5392" xr:uid="{59A4A302-FF56-466E-BC6B-81F2C40894D4}"/>
    <cellStyle name="Įprastas 5 3 2 3 4 2 3_8 priedas" xfId="9461" xr:uid="{FC8E76D1-AA8E-4464-9265-35D8868D11B8}"/>
    <cellStyle name="Įprastas 5 3 2 3 4 2 4" xfId="7120" xr:uid="{ED355C1F-59E2-4F6F-A637-F660D9B8B5B4}"/>
    <cellStyle name="Įprastas 5 3 2 3 4 2 5" xfId="3664" xr:uid="{A23860CC-0A20-4037-976B-8488FE896907}"/>
    <cellStyle name="Įprastas 5 3 2 3 4 2_8 priedas" xfId="9459" xr:uid="{E73DA4E5-CE73-43DA-8274-1A314B3BA9DD}"/>
    <cellStyle name="Įprastas 5 3 2 3 4 3" xfId="1815" xr:uid="{C1FF0352-4917-4E54-A845-3B19951356F2}"/>
    <cellStyle name="Įprastas 5 3 2 3 4 3 2" xfId="5897" xr:uid="{7077901D-4501-4395-9141-CC2F5CFB6681}"/>
    <cellStyle name="Įprastas 5 3 2 3 4 3 3" xfId="7625" xr:uid="{8B75C10F-82EC-4342-94CE-549189428621}"/>
    <cellStyle name="Įprastas 5 3 2 3 4 3 4" xfId="4169" xr:uid="{481A1BEC-A5B9-460C-981E-37C16B581721}"/>
    <cellStyle name="Įprastas 5 3 2 3 4 3_8 priedas" xfId="9462" xr:uid="{68E3C3E9-D0DE-4738-87B5-67D91C13CFD2}"/>
    <cellStyle name="Įprastas 5 3 2 3 4 4" xfId="2440" xr:uid="{51CC3901-E633-4474-A40F-A2C3856779C0}"/>
    <cellStyle name="Įprastas 5 3 2 3 4 4 2" xfId="5033" xr:uid="{E9DEFB1C-940F-41C7-879F-7F6985360905}"/>
    <cellStyle name="Įprastas 5 3 2 3 4 4_8 priedas" xfId="9463" xr:uid="{1752642F-34C7-42DC-8D6B-6919CBA0CA56}"/>
    <cellStyle name="Įprastas 5 3 2 3 4 5" xfId="6761" xr:uid="{2A04C5EA-C070-48E4-B3D7-8DB8460CC72D}"/>
    <cellStyle name="Įprastas 5 3 2 3 4 6" xfId="3305" xr:uid="{8409FB72-2326-4ACF-885F-56BBC532C09A}"/>
    <cellStyle name="Įprastas 5 3 2 3 4_8 priedas" xfId="1256" xr:uid="{00000000-0005-0000-0000-0000E8020000}"/>
    <cellStyle name="Įprastas 5 3 2 3 5" xfId="276" xr:uid="{00000000-0005-0000-0000-0000E9020000}"/>
    <cellStyle name="Įprastas 5 3 2 3 5 2" xfId="795" xr:uid="{00000000-0005-0000-0000-0000EA020000}"/>
    <cellStyle name="Įprastas 5 3 2 3 5 2 2" xfId="1816" xr:uid="{3A057E36-0FEF-4AB5-8BAA-30ED2B6AA1A4}"/>
    <cellStyle name="Įprastas 5 3 2 3 5 2 2 2" xfId="6400" xr:uid="{C2154636-7ACE-43F5-8525-4CEFF824FCE1}"/>
    <cellStyle name="Įprastas 5 3 2 3 5 2 2 3" xfId="8128" xr:uid="{7B284AF3-8E5F-4708-BF90-A7373E26F014}"/>
    <cellStyle name="Įprastas 5 3 2 3 5 2 2 4" xfId="4672" xr:uid="{867A0948-FEF3-4FEE-AAED-E379E45C8F0C}"/>
    <cellStyle name="Įprastas 5 3 2 3 5 2 2_8 priedas" xfId="9465" xr:uid="{567DF8FD-A002-4CC6-965C-F082B893F785}"/>
    <cellStyle name="Įprastas 5 3 2 3 5 2 3" xfId="2943" xr:uid="{5246C08C-F4FD-467F-9E9B-A32A9D271EE5}"/>
    <cellStyle name="Įprastas 5 3 2 3 5 2 3 2" xfId="5536" xr:uid="{CF0A3651-8376-448F-AFFF-C45625C98166}"/>
    <cellStyle name="Įprastas 5 3 2 3 5 2 3_8 priedas" xfId="9466" xr:uid="{76F8809F-B1C5-4826-8346-2042F1A05D38}"/>
    <cellStyle name="Įprastas 5 3 2 3 5 2 4" xfId="7264" xr:uid="{9A64D8F2-9084-413E-9E16-9152D671B922}"/>
    <cellStyle name="Įprastas 5 3 2 3 5 2 5" xfId="3808" xr:uid="{1F6751B4-FE06-4059-99B5-90FC14A7C5EC}"/>
    <cellStyle name="Įprastas 5 3 2 3 5 2_8 priedas" xfId="9464" xr:uid="{7216D774-CDC3-4BD5-82DF-46BE62A20345}"/>
    <cellStyle name="Įprastas 5 3 2 3 5 3" xfId="1817" xr:uid="{56BE6AA0-98B9-4827-BD78-E5F0546D7ACB}"/>
    <cellStyle name="Įprastas 5 3 2 3 5 3 2" xfId="5898" xr:uid="{6F2BE92B-308E-431A-8FDB-A9B1B0FA9864}"/>
    <cellStyle name="Įprastas 5 3 2 3 5 3 3" xfId="7626" xr:uid="{C1579EF0-413B-4B5E-B413-5F6C0EB37E44}"/>
    <cellStyle name="Įprastas 5 3 2 3 5 3 4" xfId="4170" xr:uid="{4B6129A8-983D-4824-8970-E26CA4670DFF}"/>
    <cellStyle name="Įprastas 5 3 2 3 5 3_8 priedas" xfId="9467" xr:uid="{1D6D1EB5-739B-4BC2-B8C2-C0AB26FBCA8E}"/>
    <cellStyle name="Įprastas 5 3 2 3 5 4" xfId="2441" xr:uid="{0C51E28E-B6E7-42C7-87AA-6BB2AB5E73BC}"/>
    <cellStyle name="Įprastas 5 3 2 3 5 4 2" xfId="5034" xr:uid="{44409C9F-9354-45C8-ABEA-E6934ACB7644}"/>
    <cellStyle name="Įprastas 5 3 2 3 5 4_8 priedas" xfId="9468" xr:uid="{648935A9-968C-420B-AFED-6239D26610ED}"/>
    <cellStyle name="Įprastas 5 3 2 3 5 5" xfId="6762" xr:uid="{C3A82874-1B6A-485D-A465-C2CAEE096EF7}"/>
    <cellStyle name="Įprastas 5 3 2 3 5 6" xfId="3306" xr:uid="{D48AA32A-082D-4CDD-B670-A7F551BB286A}"/>
    <cellStyle name="Įprastas 5 3 2 3 5_8 priedas" xfId="1120" xr:uid="{00000000-0005-0000-0000-0000EB020000}"/>
    <cellStyle name="Įprastas 5 3 2 3 6" xfId="507" xr:uid="{00000000-0005-0000-0000-0000EC020000}"/>
    <cellStyle name="Įprastas 5 3 2 3 6 2" xfId="1818" xr:uid="{92BB610B-5644-4A50-BA9E-BE362246F492}"/>
    <cellStyle name="Įprastas 5 3 2 3 6 2 2" xfId="6112" xr:uid="{E6ACFC58-CFD3-45BA-A6EE-9B5873CFC7B0}"/>
    <cellStyle name="Įprastas 5 3 2 3 6 2 3" xfId="7840" xr:uid="{B783800E-E457-416F-B4AC-CE09D6854E83}"/>
    <cellStyle name="Įprastas 5 3 2 3 6 2 4" xfId="4384" xr:uid="{40A38D01-55E2-4BB0-8EED-6383F5E49277}"/>
    <cellStyle name="Įprastas 5 3 2 3 6 2_8 priedas" xfId="9470" xr:uid="{6C512E03-13CC-4B00-9276-B584972AA8C2}"/>
    <cellStyle name="Įprastas 5 3 2 3 6 3" xfId="2655" xr:uid="{1F3AEA03-2E80-4DD4-8DE1-7C75AFEFF869}"/>
    <cellStyle name="Įprastas 5 3 2 3 6 3 2" xfId="5248" xr:uid="{48A69BE6-0E9C-4844-ACA3-7ECA21B7ADD8}"/>
    <cellStyle name="Įprastas 5 3 2 3 6 3_8 priedas" xfId="9471" xr:uid="{80CF7FDB-8519-4D11-963C-046F2E308EA2}"/>
    <cellStyle name="Įprastas 5 3 2 3 6 4" xfId="6976" xr:uid="{5835AB66-E43E-4904-850B-D0F9F8C8FBF6}"/>
    <cellStyle name="Įprastas 5 3 2 3 6 5" xfId="3520" xr:uid="{A935EEDB-028C-4A38-837B-1622F8D1EBF0}"/>
    <cellStyle name="Įprastas 5 3 2 3 6_8 priedas" xfId="9469" xr:uid="{BA1BA922-4B3C-4785-840F-20DF6AE556A3}"/>
    <cellStyle name="Įprastas 5 3 2 3 7" xfId="1819" xr:uid="{BD8948F0-2AA9-41F1-BFE9-7AF48BEE37F7}"/>
    <cellStyle name="Įprastas 5 3 2 3 7 2" xfId="5890" xr:uid="{1691D3C3-ECC4-42DC-92AD-D8CA1A3F7B69}"/>
    <cellStyle name="Įprastas 5 3 2 3 7 3" xfId="7618" xr:uid="{BA64B40E-0C7D-4AC0-A936-1DC1D684EFD3}"/>
    <cellStyle name="Įprastas 5 3 2 3 7 4" xfId="4162" xr:uid="{BA9EBED0-FC8D-4580-86B7-0BD41115069C}"/>
    <cellStyle name="Įprastas 5 3 2 3 7_8 priedas" xfId="9472" xr:uid="{BA46DAF8-8BEE-4545-A1A2-044EFE6B9EEB}"/>
    <cellStyle name="Įprastas 5 3 2 3 8" xfId="2433" xr:uid="{BA74F118-E92F-492D-9747-2A60A561C618}"/>
    <cellStyle name="Įprastas 5 3 2 3 8 2" xfId="5026" xr:uid="{94158F9B-5335-4098-B1FC-54A4F4ADAF13}"/>
    <cellStyle name="Įprastas 5 3 2 3 8_8 priedas" xfId="9473" xr:uid="{8F8DC676-A927-4770-82EE-F2E6E459C2BD}"/>
    <cellStyle name="Įprastas 5 3 2 3 9" xfId="6754" xr:uid="{7AB7BA4A-025D-4F53-BD0B-076B0FA42BE7}"/>
    <cellStyle name="Įprastas 5 3 2 3_8 priedas" xfId="1103" xr:uid="{00000000-0005-0000-0000-0000ED020000}"/>
    <cellStyle name="Įprastas 5 3 2 4" xfId="277" xr:uid="{00000000-0005-0000-0000-0000EE020000}"/>
    <cellStyle name="Įprastas 5 3 2 4 2" xfId="278" xr:uid="{00000000-0005-0000-0000-0000EF020000}"/>
    <cellStyle name="Įprastas 5 3 2 4 2 2" xfId="675" xr:uid="{00000000-0005-0000-0000-0000F0020000}"/>
    <cellStyle name="Įprastas 5 3 2 4 2 2 2" xfId="1820" xr:uid="{9E9782C7-DFE6-46A5-B021-535766274DFC}"/>
    <cellStyle name="Įprastas 5 3 2 4 2 2 2 2" xfId="6280" xr:uid="{AA71DF8E-E585-4E0D-B6C0-F4980895C742}"/>
    <cellStyle name="Įprastas 5 3 2 4 2 2 2 3" xfId="8008" xr:uid="{F16C372A-0913-4AE7-9E27-A8F747B3D18D}"/>
    <cellStyle name="Įprastas 5 3 2 4 2 2 2 4" xfId="4552" xr:uid="{60B9B35E-DDFC-43D0-8B65-FD1704E27E6F}"/>
    <cellStyle name="Įprastas 5 3 2 4 2 2 2_8 priedas" xfId="9475" xr:uid="{90E8D428-AF32-4D77-9BA0-E42937797A14}"/>
    <cellStyle name="Įprastas 5 3 2 4 2 2 3" xfId="2823" xr:uid="{1EDAC0E6-2572-4B61-B369-81249368D153}"/>
    <cellStyle name="Įprastas 5 3 2 4 2 2 3 2" xfId="5416" xr:uid="{4B8F1B55-370A-43A6-9D5E-F3AF4B258538}"/>
    <cellStyle name="Įprastas 5 3 2 4 2 2 3_8 priedas" xfId="9476" xr:uid="{C87F9458-05EB-45CE-B133-FA38DF95FE81}"/>
    <cellStyle name="Įprastas 5 3 2 4 2 2 4" xfId="7144" xr:uid="{1C4B1C37-992A-4A65-A164-499EBF178E16}"/>
    <cellStyle name="Įprastas 5 3 2 4 2 2 5" xfId="3688" xr:uid="{FFD1B6BE-97C8-4A63-BAC1-5EFFE6E0FE38}"/>
    <cellStyle name="Įprastas 5 3 2 4 2 2_8 priedas" xfId="9474" xr:uid="{DCE3CFE8-22EE-4772-B609-E699A9A56864}"/>
    <cellStyle name="Įprastas 5 3 2 4 2 3" xfId="1821" xr:uid="{BB9C5D9E-1C8F-4F1D-A9D5-51836FEA7B78}"/>
    <cellStyle name="Įprastas 5 3 2 4 2 3 2" xfId="5900" xr:uid="{E8D5D9D8-AA11-486B-9947-4502E4C70A9B}"/>
    <cellStyle name="Įprastas 5 3 2 4 2 3 3" xfId="7628" xr:uid="{0CE24145-84D8-4F88-A2CC-8AC8896E754F}"/>
    <cellStyle name="Įprastas 5 3 2 4 2 3 4" xfId="4172" xr:uid="{8CE58B02-1C9B-4490-A9D3-B8F18A7D3B96}"/>
    <cellStyle name="Įprastas 5 3 2 4 2 3_8 priedas" xfId="9477" xr:uid="{B4794B51-A5B0-4585-8321-EF0CCD3C3C9B}"/>
    <cellStyle name="Įprastas 5 3 2 4 2 4" xfId="2443" xr:uid="{E304BD90-EF1F-4DD1-A85E-C3CC50574F73}"/>
    <cellStyle name="Įprastas 5 3 2 4 2 4 2" xfId="5036" xr:uid="{86550B5C-0694-459A-89CF-AA42E228B624}"/>
    <cellStyle name="Įprastas 5 3 2 4 2 4_8 priedas" xfId="9478" xr:uid="{D7872CFC-A1E8-4F3B-AC13-F4A65E307220}"/>
    <cellStyle name="Įprastas 5 3 2 4 2 5" xfId="6764" xr:uid="{7E65B663-5824-4716-8450-45D078178C54}"/>
    <cellStyle name="Įprastas 5 3 2 4 2 6" xfId="3308" xr:uid="{D2895442-BA6C-4C3C-9107-C5AD2555B91E}"/>
    <cellStyle name="Įprastas 5 3 2 4 2_8 priedas" xfId="943" xr:uid="{00000000-0005-0000-0000-0000F1020000}"/>
    <cellStyle name="Įprastas 5 3 2 4 3" xfId="279" xr:uid="{00000000-0005-0000-0000-0000F2020000}"/>
    <cellStyle name="Įprastas 5 3 2 4 3 2" xfId="819" xr:uid="{00000000-0005-0000-0000-0000F3020000}"/>
    <cellStyle name="Įprastas 5 3 2 4 3 2 2" xfId="1822" xr:uid="{86C93C1F-5D94-4870-95E8-E0822C1A3E6B}"/>
    <cellStyle name="Įprastas 5 3 2 4 3 2 2 2" xfId="6424" xr:uid="{84366F61-269F-4568-A45D-0D10602D1E5F}"/>
    <cellStyle name="Įprastas 5 3 2 4 3 2 2 3" xfId="8152" xr:uid="{993C6192-6AA2-48A8-85E3-874A2AEF6D9B}"/>
    <cellStyle name="Įprastas 5 3 2 4 3 2 2 4" xfId="4696" xr:uid="{1209CFC8-B90B-407F-A138-BF44405DE7EE}"/>
    <cellStyle name="Įprastas 5 3 2 4 3 2 2_8 priedas" xfId="9480" xr:uid="{AC1F13B3-2CD2-4CA2-926E-BE05C28402CB}"/>
    <cellStyle name="Įprastas 5 3 2 4 3 2 3" xfId="2967" xr:uid="{CBB05E1E-16DA-4B85-BCFD-CCE76F8450D3}"/>
    <cellStyle name="Įprastas 5 3 2 4 3 2 3 2" xfId="5560" xr:uid="{509DA3BF-280A-43E4-B5AE-F4980C2CA752}"/>
    <cellStyle name="Įprastas 5 3 2 4 3 2 3_8 priedas" xfId="9481" xr:uid="{05B760DB-F1F0-4FCE-AEE3-EFF0BD5271C5}"/>
    <cellStyle name="Įprastas 5 3 2 4 3 2 4" xfId="7288" xr:uid="{7BC1E10E-706F-4CCD-9031-F9B5126D7A66}"/>
    <cellStyle name="Įprastas 5 3 2 4 3 2 5" xfId="3832" xr:uid="{97B4B576-E479-40C7-B2AB-E6C2150EAB75}"/>
    <cellStyle name="Įprastas 5 3 2 4 3 2_8 priedas" xfId="9479" xr:uid="{FE5F0214-41A1-4146-96D5-8B271D60D7C7}"/>
    <cellStyle name="Įprastas 5 3 2 4 3 3" xfId="1823" xr:uid="{1F9DD816-71E7-4229-B9D3-61496DC8DC4C}"/>
    <cellStyle name="Įprastas 5 3 2 4 3 3 2" xfId="5901" xr:uid="{EF7FB330-F512-4EEB-9684-BD8A6B6FB1EE}"/>
    <cellStyle name="Įprastas 5 3 2 4 3 3 3" xfId="7629" xr:uid="{84973A90-7EF9-40BB-B0F5-264E3C71988C}"/>
    <cellStyle name="Įprastas 5 3 2 4 3 3 4" xfId="4173" xr:uid="{F7C9F237-63EE-47B4-8ED4-412B1C9CE266}"/>
    <cellStyle name="Įprastas 5 3 2 4 3 3_8 priedas" xfId="9482" xr:uid="{8D35864D-E120-49BA-A69D-1C74C2A536D0}"/>
    <cellStyle name="Įprastas 5 3 2 4 3 4" xfId="2444" xr:uid="{8F0349A5-9B45-4B00-898A-3C8053C658A1}"/>
    <cellStyle name="Įprastas 5 3 2 4 3 4 2" xfId="5037" xr:uid="{CC59AF87-D0D1-4CFA-A4EC-677A9D906AF2}"/>
    <cellStyle name="Įprastas 5 3 2 4 3 4_8 priedas" xfId="9483" xr:uid="{282B57F6-6C07-4170-AA66-EA5B23ED75E5}"/>
    <cellStyle name="Įprastas 5 3 2 4 3 5" xfId="6765" xr:uid="{E8F8CD70-12BB-40DA-94C8-07ADE39F083A}"/>
    <cellStyle name="Įprastas 5 3 2 4 3 6" xfId="3309" xr:uid="{0178AED5-D7C3-40F4-A44B-888802550CE9}"/>
    <cellStyle name="Įprastas 5 3 2 4 3_8 priedas" xfId="1202" xr:uid="{00000000-0005-0000-0000-0000F4020000}"/>
    <cellStyle name="Įprastas 5 3 2 4 4" xfId="531" xr:uid="{00000000-0005-0000-0000-0000F5020000}"/>
    <cellStyle name="Įprastas 5 3 2 4 4 2" xfId="1824" xr:uid="{AB26E05F-2064-4FA5-9D61-7C38DDDEBE55}"/>
    <cellStyle name="Įprastas 5 3 2 4 4 2 2" xfId="6136" xr:uid="{C55921CD-1C66-417B-8FE1-B6154C3FFDE8}"/>
    <cellStyle name="Įprastas 5 3 2 4 4 2 3" xfId="7864" xr:uid="{8D88215A-0BDB-472A-A439-44BF29EDB40B}"/>
    <cellStyle name="Įprastas 5 3 2 4 4 2 4" xfId="4408" xr:uid="{FEFB87E0-8A27-4FF2-959E-1209222713E6}"/>
    <cellStyle name="Įprastas 5 3 2 4 4 2_8 priedas" xfId="9485" xr:uid="{C52A771A-E5AB-4A89-A36A-8C06470B941B}"/>
    <cellStyle name="Įprastas 5 3 2 4 4 3" xfId="2679" xr:uid="{C955682F-E307-4501-A3D3-77B20922A2DA}"/>
    <cellStyle name="Įprastas 5 3 2 4 4 3 2" xfId="5272" xr:uid="{AAE2ED12-83F9-415B-9E4E-480B056DAD6B}"/>
    <cellStyle name="Įprastas 5 3 2 4 4 3_8 priedas" xfId="9486" xr:uid="{F3ADF04D-869C-4D7F-9E35-1A4747024BF8}"/>
    <cellStyle name="Įprastas 5 3 2 4 4 4" xfId="7000" xr:uid="{1CC0E49B-BEAD-4A06-A0C8-71ACF3EDE61A}"/>
    <cellStyle name="Įprastas 5 3 2 4 4 5" xfId="3544" xr:uid="{EA78805A-0C00-43F6-9A6D-76FED691AC4C}"/>
    <cellStyle name="Įprastas 5 3 2 4 4_8 priedas" xfId="9484" xr:uid="{FBDB6A88-7957-4F72-9614-82C326F3A826}"/>
    <cellStyle name="Įprastas 5 3 2 4 5" xfId="1825" xr:uid="{D7A8BC00-E4B5-4D6B-9863-F6381BEB5212}"/>
    <cellStyle name="Įprastas 5 3 2 4 5 2" xfId="5899" xr:uid="{C6344C88-7B65-4BEE-8EA4-631F9B9211EB}"/>
    <cellStyle name="Įprastas 5 3 2 4 5 3" xfId="7627" xr:uid="{0ACC0A2D-8586-4F79-8202-57E830DE7921}"/>
    <cellStyle name="Įprastas 5 3 2 4 5 4" xfId="4171" xr:uid="{304E01C7-59F5-4D25-A551-F092A1A193C7}"/>
    <cellStyle name="Įprastas 5 3 2 4 5_8 priedas" xfId="9487" xr:uid="{B92ED862-369F-44F0-8132-DA2366C44C83}"/>
    <cellStyle name="Įprastas 5 3 2 4 6" xfId="2442" xr:uid="{0C74F71D-9298-4D82-891D-28F8BE70D7CF}"/>
    <cellStyle name="Įprastas 5 3 2 4 6 2" xfId="5035" xr:uid="{FDAB0A08-7C57-416A-BE08-1F1038480E37}"/>
    <cellStyle name="Įprastas 5 3 2 4 6_8 priedas" xfId="9488" xr:uid="{B143495F-FEC3-4314-8A3B-642B18EB5314}"/>
    <cellStyle name="Įprastas 5 3 2 4 7" xfId="6763" xr:uid="{735900ED-3126-464C-8BB6-10918EA69323}"/>
    <cellStyle name="Įprastas 5 3 2 4 8" xfId="3307" xr:uid="{82D0C629-345D-45C0-93CB-33DA6141D892}"/>
    <cellStyle name="Įprastas 5 3 2 4_8 priedas" xfId="984" xr:uid="{00000000-0005-0000-0000-0000F6020000}"/>
    <cellStyle name="Įprastas 5 3 2 5" xfId="280" xr:uid="{00000000-0005-0000-0000-0000F7020000}"/>
    <cellStyle name="Įprastas 5 3 2 5 2" xfId="281" xr:uid="{00000000-0005-0000-0000-0000F8020000}"/>
    <cellStyle name="Įprastas 5 3 2 5 2 2" xfId="723" xr:uid="{00000000-0005-0000-0000-0000F9020000}"/>
    <cellStyle name="Įprastas 5 3 2 5 2 2 2" xfId="1826" xr:uid="{52A006BD-90E7-4650-B0AB-BA12C749365E}"/>
    <cellStyle name="Įprastas 5 3 2 5 2 2 2 2" xfId="6328" xr:uid="{14F63ED2-4638-4B00-827C-6F0E68F363C5}"/>
    <cellStyle name="Įprastas 5 3 2 5 2 2 2 3" xfId="8056" xr:uid="{A3642CA2-22CC-45DA-9E9E-301F12628F07}"/>
    <cellStyle name="Įprastas 5 3 2 5 2 2 2 4" xfId="4600" xr:uid="{AFA2012F-B4BA-4A3F-BBA1-1EEBED6B221F}"/>
    <cellStyle name="Įprastas 5 3 2 5 2 2 2_8 priedas" xfId="9490" xr:uid="{1275A638-54FB-49E8-BA50-93DF323B8C62}"/>
    <cellStyle name="Įprastas 5 3 2 5 2 2 3" xfId="2871" xr:uid="{70D548AB-C160-4B43-95BA-555B0EAA7983}"/>
    <cellStyle name="Įprastas 5 3 2 5 2 2 3 2" xfId="5464" xr:uid="{CBDE4423-A657-4BF7-9EB3-0B5D78B1FB00}"/>
    <cellStyle name="Įprastas 5 3 2 5 2 2 3_8 priedas" xfId="9491" xr:uid="{052354EC-AD08-44EC-8913-CC4D6C5FC207}"/>
    <cellStyle name="Įprastas 5 3 2 5 2 2 4" xfId="7192" xr:uid="{BB6314C6-EA49-419C-8FE8-5CF401379784}"/>
    <cellStyle name="Įprastas 5 3 2 5 2 2 5" xfId="3736" xr:uid="{B29D1790-52FA-46C8-8631-46C17EE120A5}"/>
    <cellStyle name="Įprastas 5 3 2 5 2 2_8 priedas" xfId="9489" xr:uid="{5F46CAA3-087E-40FF-A2B3-7D66FC550C61}"/>
    <cellStyle name="Įprastas 5 3 2 5 2 3" xfId="1827" xr:uid="{5F36E730-98B1-4200-8760-EACA9D7AF3AF}"/>
    <cellStyle name="Įprastas 5 3 2 5 2 3 2" xfId="5903" xr:uid="{61C33203-9C5B-430B-9CCF-82F2D48DD15E}"/>
    <cellStyle name="Įprastas 5 3 2 5 2 3 3" xfId="7631" xr:uid="{11B98F7B-9D61-4BF3-948F-4E6A328D8CB5}"/>
    <cellStyle name="Įprastas 5 3 2 5 2 3 4" xfId="4175" xr:uid="{55788F7D-90D2-4BB7-8E73-782D3A0CFC58}"/>
    <cellStyle name="Įprastas 5 3 2 5 2 3_8 priedas" xfId="9492" xr:uid="{5BE8C2B8-70E3-4B24-A72E-CB7160CE6892}"/>
    <cellStyle name="Įprastas 5 3 2 5 2 4" xfId="2446" xr:uid="{3DDFB6C1-614E-4DE9-ACB8-351952063FA9}"/>
    <cellStyle name="Įprastas 5 3 2 5 2 4 2" xfId="5039" xr:uid="{9B9020CF-DA29-4C54-95FE-73AC36389D5F}"/>
    <cellStyle name="Įprastas 5 3 2 5 2 4_8 priedas" xfId="9493" xr:uid="{21475A08-824B-4259-A61A-33AFA9887664}"/>
    <cellStyle name="Įprastas 5 3 2 5 2 5" xfId="6767" xr:uid="{F0125EA8-E38E-4746-B6B7-CFA02643CEE7}"/>
    <cellStyle name="Įprastas 5 3 2 5 2 6" xfId="3311" xr:uid="{AF9C7DC5-D2FD-4ABF-944E-6C24509111C4}"/>
    <cellStyle name="Įprastas 5 3 2 5 2_8 priedas" xfId="1293" xr:uid="{00000000-0005-0000-0000-0000FA020000}"/>
    <cellStyle name="Įprastas 5 3 2 5 3" xfId="282" xr:uid="{00000000-0005-0000-0000-0000FB020000}"/>
    <cellStyle name="Įprastas 5 3 2 5 3 2" xfId="867" xr:uid="{00000000-0005-0000-0000-0000FC020000}"/>
    <cellStyle name="Įprastas 5 3 2 5 3 2 2" xfId="1828" xr:uid="{EDA278E1-AE1D-4813-B594-A83884360476}"/>
    <cellStyle name="Įprastas 5 3 2 5 3 2 2 2" xfId="6472" xr:uid="{60012900-43A3-4111-BF97-0B97087AD550}"/>
    <cellStyle name="Įprastas 5 3 2 5 3 2 2 3" xfId="8200" xr:uid="{BE8AACA4-91DF-43ED-B3C8-764CB9A7566A}"/>
    <cellStyle name="Įprastas 5 3 2 5 3 2 2 4" xfId="4744" xr:uid="{7EA85614-E7FA-4766-82E3-4C5D98CBF090}"/>
    <cellStyle name="Įprastas 5 3 2 5 3 2 2_8 priedas" xfId="9495" xr:uid="{B6DE2EA3-EAF8-45B4-81BE-DCE895CCFF4D}"/>
    <cellStyle name="Įprastas 5 3 2 5 3 2 3" xfId="3015" xr:uid="{ABD827EC-DF39-49B9-9151-3AFE48E48C24}"/>
    <cellStyle name="Įprastas 5 3 2 5 3 2 3 2" xfId="5608" xr:uid="{0E44A009-2453-44C3-A9F7-D3B0EF5A887F}"/>
    <cellStyle name="Įprastas 5 3 2 5 3 2 3_8 priedas" xfId="9496" xr:uid="{7B1D606C-1752-4D13-8760-D77D543508B7}"/>
    <cellStyle name="Įprastas 5 3 2 5 3 2 4" xfId="7336" xr:uid="{6ED1B21C-67EF-4CF5-BCD1-4D53600A7DD6}"/>
    <cellStyle name="Įprastas 5 3 2 5 3 2 5" xfId="3880" xr:uid="{4C8BBBA2-E596-4E13-9C6A-07015550F188}"/>
    <cellStyle name="Įprastas 5 3 2 5 3 2_8 priedas" xfId="9494" xr:uid="{CA9B783E-E9D6-42D8-A64B-0BB18D765FAE}"/>
    <cellStyle name="Įprastas 5 3 2 5 3 3" xfId="1829" xr:uid="{4A0109F3-45B4-4DC5-96C7-5517AF0AA64D}"/>
    <cellStyle name="Įprastas 5 3 2 5 3 3 2" xfId="5904" xr:uid="{F186BECD-D7DC-4DD2-BA34-B70C2283BBBC}"/>
    <cellStyle name="Įprastas 5 3 2 5 3 3 3" xfId="7632" xr:uid="{6B26D17F-DCC8-46DA-A504-2EECBEF92C40}"/>
    <cellStyle name="Įprastas 5 3 2 5 3 3 4" xfId="4176" xr:uid="{C69B2976-27C7-4930-A110-6CBE77FC1FC3}"/>
    <cellStyle name="Įprastas 5 3 2 5 3 3_8 priedas" xfId="9497" xr:uid="{E6B7171B-270B-4032-ADAD-0C996E3AEE52}"/>
    <cellStyle name="Įprastas 5 3 2 5 3 4" xfId="2447" xr:uid="{743DCD74-A735-4F70-8EB3-6AEEC12CBBF0}"/>
    <cellStyle name="Įprastas 5 3 2 5 3 4 2" xfId="5040" xr:uid="{AD6DBAA9-9621-4C39-AC2F-474E3C6E1AEE}"/>
    <cellStyle name="Įprastas 5 3 2 5 3 4_8 priedas" xfId="9498" xr:uid="{8E3A6B81-5282-4BA3-BFD1-9536FA38E7D4}"/>
    <cellStyle name="Įprastas 5 3 2 5 3 5" xfId="6768" xr:uid="{4F828532-6A41-4611-A6DB-5E528EB5DBF2}"/>
    <cellStyle name="Įprastas 5 3 2 5 3 6" xfId="3312" xr:uid="{DC99794D-803F-4F18-890E-88BEE62BA86E}"/>
    <cellStyle name="Įprastas 5 3 2 5 3_8 priedas" xfId="1156" xr:uid="{00000000-0005-0000-0000-0000FD020000}"/>
    <cellStyle name="Įprastas 5 3 2 5 4" xfId="579" xr:uid="{00000000-0005-0000-0000-0000FE020000}"/>
    <cellStyle name="Įprastas 5 3 2 5 4 2" xfId="1830" xr:uid="{71A97E5C-007F-4CBD-A4DF-B93D3DFC72D0}"/>
    <cellStyle name="Įprastas 5 3 2 5 4 2 2" xfId="6184" xr:uid="{C2D57A39-BC39-49BF-ACB1-571F1770B3BE}"/>
    <cellStyle name="Įprastas 5 3 2 5 4 2 3" xfId="7912" xr:uid="{49F90FE2-A1F7-408E-9E9F-906BB5D7F192}"/>
    <cellStyle name="Įprastas 5 3 2 5 4 2 4" xfId="4456" xr:uid="{1D502A58-81E0-4923-B48D-461177F2CD53}"/>
    <cellStyle name="Įprastas 5 3 2 5 4 2_8 priedas" xfId="9500" xr:uid="{45781961-A6D7-4DE5-9938-A05CBCCD1A97}"/>
    <cellStyle name="Įprastas 5 3 2 5 4 3" xfId="2727" xr:uid="{4C4E862D-36CB-4225-95BC-D3FF76031099}"/>
    <cellStyle name="Įprastas 5 3 2 5 4 3 2" xfId="5320" xr:uid="{D7515888-7ECA-4098-A515-A0BBA28897F9}"/>
    <cellStyle name="Įprastas 5 3 2 5 4 3_8 priedas" xfId="9501" xr:uid="{818C7825-4108-459A-AFBB-C128AA6833E9}"/>
    <cellStyle name="Įprastas 5 3 2 5 4 4" xfId="7048" xr:uid="{804B59F1-50AF-4FE2-9FCA-A392ECF40EDD}"/>
    <cellStyle name="Įprastas 5 3 2 5 4 5" xfId="3592" xr:uid="{5B457879-21E8-4666-BD96-D6F51B445614}"/>
    <cellStyle name="Įprastas 5 3 2 5 4_8 priedas" xfId="9499" xr:uid="{01CAA79A-512F-4DED-8754-6081746FC0D8}"/>
    <cellStyle name="Įprastas 5 3 2 5 5" xfId="1831" xr:uid="{4E99C989-628C-41DC-B11F-F86A1A9C608F}"/>
    <cellStyle name="Įprastas 5 3 2 5 5 2" xfId="5902" xr:uid="{F51090A3-CBE8-4EC6-9DAD-2506DC0596F2}"/>
    <cellStyle name="Įprastas 5 3 2 5 5 3" xfId="7630" xr:uid="{CD496ADB-D879-4C08-A43E-0EEBEA6B9A94}"/>
    <cellStyle name="Įprastas 5 3 2 5 5 4" xfId="4174" xr:uid="{3941F4C4-699B-4E5B-BC1F-A4C403771115}"/>
    <cellStyle name="Įprastas 5 3 2 5 5_8 priedas" xfId="9502" xr:uid="{62BDFBA1-12C6-4709-AA48-C3591BE16BA4}"/>
    <cellStyle name="Įprastas 5 3 2 5 6" xfId="2445" xr:uid="{A63E4BB5-945B-4C25-91EF-26B0DBC4A7A4}"/>
    <cellStyle name="Įprastas 5 3 2 5 6 2" xfId="5038" xr:uid="{9668D468-2F48-4E99-BA17-635A4C9FF24B}"/>
    <cellStyle name="Įprastas 5 3 2 5 6_8 priedas" xfId="9503" xr:uid="{12642972-00EC-4032-A638-0E12C001979D}"/>
    <cellStyle name="Įprastas 5 3 2 5 7" xfId="6766" xr:uid="{586E6FAE-B61F-4575-BC32-8C6637D71250}"/>
    <cellStyle name="Įprastas 5 3 2 5 8" xfId="3310" xr:uid="{F075D70A-AC47-42B5-8CE8-0A9437B15773}"/>
    <cellStyle name="Įprastas 5 3 2 5_8 priedas" xfId="1068" xr:uid="{00000000-0005-0000-0000-0000FF020000}"/>
    <cellStyle name="Įprastas 5 3 2 6" xfId="283" xr:uid="{00000000-0005-0000-0000-000000030000}"/>
    <cellStyle name="Įprastas 5 3 2 6 2" xfId="627" xr:uid="{00000000-0005-0000-0000-000001030000}"/>
    <cellStyle name="Įprastas 5 3 2 6 2 2" xfId="1832" xr:uid="{60C4CBE7-D42C-4FC0-83E0-0D90B58CB01F}"/>
    <cellStyle name="Įprastas 5 3 2 6 2 2 2" xfId="6232" xr:uid="{C35B87B6-660B-4E66-8BC2-6B9A084D812E}"/>
    <cellStyle name="Įprastas 5 3 2 6 2 2 3" xfId="7960" xr:uid="{46823B57-B212-4781-BCC8-47DD613BD06A}"/>
    <cellStyle name="Įprastas 5 3 2 6 2 2 4" xfId="4504" xr:uid="{625C5374-4F37-4891-A76C-AFB3B3F21517}"/>
    <cellStyle name="Įprastas 5 3 2 6 2 2_8 priedas" xfId="9505" xr:uid="{0EEBE8DC-1710-4FC1-9FD3-3414AFDC7777}"/>
    <cellStyle name="Įprastas 5 3 2 6 2 3" xfId="2775" xr:uid="{3F6742B9-8440-4C93-897E-99CC1DC2ABA3}"/>
    <cellStyle name="Įprastas 5 3 2 6 2 3 2" xfId="5368" xr:uid="{6C2A2D60-BF36-4BC3-A847-A7797A2BF44E}"/>
    <cellStyle name="Įprastas 5 3 2 6 2 3_8 priedas" xfId="9506" xr:uid="{13483514-1D53-4505-9C9B-792BF0B5C23A}"/>
    <cellStyle name="Įprastas 5 3 2 6 2 4" xfId="7096" xr:uid="{0A3F427C-DC3F-4951-93FB-5E751E4A691F}"/>
    <cellStyle name="Įprastas 5 3 2 6 2 5" xfId="3640" xr:uid="{567539A4-20F0-48D9-A960-3FB2FAC31545}"/>
    <cellStyle name="Įprastas 5 3 2 6 2_8 priedas" xfId="9504" xr:uid="{14430BD5-A18A-4B61-A6E4-D4A3E920139A}"/>
    <cellStyle name="Įprastas 5 3 2 6 3" xfId="1833" xr:uid="{BCA376C2-3A15-4996-8955-253E6938505A}"/>
    <cellStyle name="Įprastas 5 3 2 6 3 2" xfId="5905" xr:uid="{ECB912D8-A0E0-494F-85F7-F9EE85CA591E}"/>
    <cellStyle name="Įprastas 5 3 2 6 3 3" xfId="7633" xr:uid="{AB1CE44C-3E9A-42E0-B484-7275751BD66E}"/>
    <cellStyle name="Įprastas 5 3 2 6 3 4" xfId="4177" xr:uid="{202DA00F-1B14-4227-8E64-5E17400E3104}"/>
    <cellStyle name="Įprastas 5 3 2 6 3_8 priedas" xfId="9507" xr:uid="{CB65C671-178A-4025-B4C2-ACA1082378BA}"/>
    <cellStyle name="Įprastas 5 3 2 6 4" xfId="2448" xr:uid="{107629CD-83E8-4354-81C2-9357D4E3540E}"/>
    <cellStyle name="Įprastas 5 3 2 6 4 2" xfId="5041" xr:uid="{BB022976-D958-4B39-A353-586A11033777}"/>
    <cellStyle name="Įprastas 5 3 2 6 4_8 priedas" xfId="9508" xr:uid="{0B85A1D8-4F4A-4720-B38F-56BF51565BBF}"/>
    <cellStyle name="Įprastas 5 3 2 6 5" xfId="6769" xr:uid="{C1051BE8-D963-4C3D-BF6E-B69F63B32545}"/>
    <cellStyle name="Įprastas 5 3 2 6 6" xfId="3313" xr:uid="{F620B074-63C5-4AC2-A2E2-8C3983EBA26D}"/>
    <cellStyle name="Įprastas 5 3 2 6_8 priedas" xfId="1021" xr:uid="{00000000-0005-0000-0000-000002030000}"/>
    <cellStyle name="Įprastas 5 3 2 7" xfId="284" xr:uid="{00000000-0005-0000-0000-000003030000}"/>
    <cellStyle name="Įprastas 5 3 2 7 2" xfId="771" xr:uid="{00000000-0005-0000-0000-000004030000}"/>
    <cellStyle name="Įprastas 5 3 2 7 2 2" xfId="1834" xr:uid="{EEA43AE6-98F9-4F94-A6D6-7DA8061EE162}"/>
    <cellStyle name="Įprastas 5 3 2 7 2 2 2" xfId="6376" xr:uid="{642ECFB5-1981-4BEC-BB75-B4B1ACBDC54E}"/>
    <cellStyle name="Įprastas 5 3 2 7 2 2 3" xfId="8104" xr:uid="{75F46EFF-5253-4500-9B36-662C11234AB6}"/>
    <cellStyle name="Įprastas 5 3 2 7 2 2 4" xfId="4648" xr:uid="{C6437272-1AD6-4065-B08A-AEF8A5CDB755}"/>
    <cellStyle name="Įprastas 5 3 2 7 2 2_8 priedas" xfId="9510" xr:uid="{49C3C237-4BA0-4E40-9BE4-71152ED89320}"/>
    <cellStyle name="Įprastas 5 3 2 7 2 3" xfId="2919" xr:uid="{0CD74924-C42A-4DA5-AB64-92D85F1868D8}"/>
    <cellStyle name="Įprastas 5 3 2 7 2 3 2" xfId="5512" xr:uid="{8C8C5026-0A9E-44B5-8EF8-22A070A1F592}"/>
    <cellStyle name="Įprastas 5 3 2 7 2 3_8 priedas" xfId="9511" xr:uid="{028F9773-4905-425C-83AE-9E3943C3E699}"/>
    <cellStyle name="Įprastas 5 3 2 7 2 4" xfId="7240" xr:uid="{BE9DB81A-A387-498B-A7D7-D5B80DE620B7}"/>
    <cellStyle name="Įprastas 5 3 2 7 2 5" xfId="3784" xr:uid="{77239E42-A2C1-4602-85A1-CA91E27FAB70}"/>
    <cellStyle name="Įprastas 5 3 2 7 2_8 priedas" xfId="9509" xr:uid="{CBE24C45-D08C-4722-A161-52B7C067F926}"/>
    <cellStyle name="Įprastas 5 3 2 7 3" xfId="1835" xr:uid="{4F664094-0C49-4E12-8DB5-80E44CCE384A}"/>
    <cellStyle name="Įprastas 5 3 2 7 3 2" xfId="5906" xr:uid="{35E8EA72-8E87-486C-A224-98BF5C20ABF8}"/>
    <cellStyle name="Įprastas 5 3 2 7 3 3" xfId="7634" xr:uid="{BB9079B2-A49C-4203-ABE2-66D659CEAE84}"/>
    <cellStyle name="Įprastas 5 3 2 7 3 4" xfId="4178" xr:uid="{954B1A82-CBD8-4A41-94CC-88F4AE01B543}"/>
    <cellStyle name="Įprastas 5 3 2 7 3_8 priedas" xfId="9512" xr:uid="{C02D71B5-ECE6-4406-B382-EA80A67006A5}"/>
    <cellStyle name="Įprastas 5 3 2 7 4" xfId="2449" xr:uid="{F07AE68A-4D24-442D-BF16-8DDDF1842D43}"/>
    <cellStyle name="Įprastas 5 3 2 7 4 2" xfId="5042" xr:uid="{A19FAECA-9D73-4F96-9446-8E105D98EE72}"/>
    <cellStyle name="Įprastas 5 3 2 7 4_8 priedas" xfId="9513" xr:uid="{15D85A5F-BE73-4434-96F4-520DBDE783A2}"/>
    <cellStyle name="Įprastas 5 3 2 7 5" xfId="6770" xr:uid="{71530502-AE4D-4082-9314-8B27F9FBAB85}"/>
    <cellStyle name="Įprastas 5 3 2 7 6" xfId="3314" xr:uid="{C2C3F693-8A6D-4623-A508-27D2277C4C96}"/>
    <cellStyle name="Įprastas 5 3 2 7_8 priedas" xfId="1246" xr:uid="{00000000-0005-0000-0000-000005030000}"/>
    <cellStyle name="Įprastas 5 3 2 8" xfId="483" xr:uid="{00000000-0005-0000-0000-000006030000}"/>
    <cellStyle name="Įprastas 5 3 2 8 2" xfId="1836" xr:uid="{CBF62CB4-9DA1-4D43-8A7C-4F6DA3EAD829}"/>
    <cellStyle name="Įprastas 5 3 2 8 2 2" xfId="6088" xr:uid="{750CE5EC-B9B2-4E67-98D5-26F9D7898473}"/>
    <cellStyle name="Įprastas 5 3 2 8 2 3" xfId="7816" xr:uid="{4B06F359-8063-4B4D-ACEE-E92CA15EA5DC}"/>
    <cellStyle name="Įprastas 5 3 2 8 2 4" xfId="4360" xr:uid="{353005B3-6100-49FD-816C-B0656AE08670}"/>
    <cellStyle name="Įprastas 5 3 2 8 2_8 priedas" xfId="9515" xr:uid="{0E7A952D-9293-46C3-8792-603472AB4FD5}"/>
    <cellStyle name="Įprastas 5 3 2 8 3" xfId="2631" xr:uid="{453C07BB-CC3E-42CA-94AC-46B6684F6D69}"/>
    <cellStyle name="Įprastas 5 3 2 8 3 2" xfId="5224" xr:uid="{2E9F46D8-274B-4E65-9936-7C431B5C2D21}"/>
    <cellStyle name="Įprastas 5 3 2 8 3_8 priedas" xfId="9516" xr:uid="{3CD3BAAB-8598-48CF-AF07-E22C1A6F84C8}"/>
    <cellStyle name="Įprastas 5 3 2 8 4" xfId="6952" xr:uid="{9446D980-1AFE-4889-8411-824C5A3C52C8}"/>
    <cellStyle name="Įprastas 5 3 2 8 5" xfId="3496" xr:uid="{B378719C-89E7-4027-9CC0-8B773398E93F}"/>
    <cellStyle name="Įprastas 5 3 2 8_8 priedas" xfId="9514" xr:uid="{0553ED4A-B1FB-4F66-8883-0F6DC3090FE3}"/>
    <cellStyle name="Įprastas 5 3 2 9" xfId="1837" xr:uid="{4F358487-4560-4177-AAAF-2E275B117CA5}"/>
    <cellStyle name="Įprastas 5 3 2 9 2" xfId="5656" xr:uid="{BD20C453-71D6-4281-8BB9-7E8E9632B424}"/>
    <cellStyle name="Įprastas 5 3 2 9 3" xfId="7384" xr:uid="{3C4A0092-1E24-4BD0-BE00-B8423033F0C8}"/>
    <cellStyle name="Įprastas 5 3 2 9 4" xfId="3928" xr:uid="{F134D4DF-E238-4946-81E9-E2F09B2E51A2}"/>
    <cellStyle name="Įprastas 5 3 2 9_8 priedas" xfId="9517" xr:uid="{45143245-FA3B-4D91-83AD-8D53D8E33980}"/>
    <cellStyle name="Įprastas 5 3 2_8 priedas" xfId="249" xr:uid="{00000000-0005-0000-0000-000007030000}"/>
    <cellStyle name="Įprastas 5 3 3" xfId="285" xr:uid="{00000000-0005-0000-0000-000008030000}"/>
    <cellStyle name="Įprastas 5 3 3 10" xfId="6771" xr:uid="{C1A7837B-A5C4-4608-AB59-17F7907422A6}"/>
    <cellStyle name="Įprastas 5 3 3 11" xfId="3315" xr:uid="{A59D54BF-63FB-4446-ADB6-E94EA4997764}"/>
    <cellStyle name="Įprastas 5 3 3 2" xfId="286" xr:uid="{00000000-0005-0000-0000-000009030000}"/>
    <cellStyle name="Įprastas 5 3 3 2 10" xfId="3316" xr:uid="{1B67E457-7577-40FD-B038-0002F80D382C}"/>
    <cellStyle name="Įprastas 5 3 3 2 2" xfId="287" xr:uid="{00000000-0005-0000-0000-00000A030000}"/>
    <cellStyle name="Įprastas 5 3 3 2 2 2" xfId="288" xr:uid="{00000000-0005-0000-0000-00000B030000}"/>
    <cellStyle name="Įprastas 5 3 3 2 2 2 2" xfId="707" xr:uid="{00000000-0005-0000-0000-00000C030000}"/>
    <cellStyle name="Įprastas 5 3 3 2 2 2 2 2" xfId="1838" xr:uid="{2DC1EAFC-46F5-4132-BD56-8B220AFC8FAA}"/>
    <cellStyle name="Įprastas 5 3 3 2 2 2 2 2 2" xfId="6312" xr:uid="{9622B4F7-766E-4BF7-8D56-47FB5A4E843B}"/>
    <cellStyle name="Įprastas 5 3 3 2 2 2 2 2 3" xfId="8040" xr:uid="{6CC5D575-C1B6-44B8-8EBA-F0609ECAAA93}"/>
    <cellStyle name="Įprastas 5 3 3 2 2 2 2 2 4" xfId="4584" xr:uid="{99F61143-0828-4610-BC9E-AFEC6569A37A}"/>
    <cellStyle name="Įprastas 5 3 3 2 2 2 2 2_8 priedas" xfId="9519" xr:uid="{985DE749-3693-4033-833D-2039404B982C}"/>
    <cellStyle name="Įprastas 5 3 3 2 2 2 2 3" xfId="2855" xr:uid="{52699DF3-70CA-4D0A-AD29-FAF8ACE47F44}"/>
    <cellStyle name="Įprastas 5 3 3 2 2 2 2 3 2" xfId="5448" xr:uid="{4DF7F876-6439-4CE5-B9B4-0E7BAB5FFCCF}"/>
    <cellStyle name="Įprastas 5 3 3 2 2 2 2 3_8 priedas" xfId="9520" xr:uid="{EDE0D052-EF6D-447E-B9AE-C4ED40D75559}"/>
    <cellStyle name="Įprastas 5 3 3 2 2 2 2 4" xfId="7176" xr:uid="{A77E8AF6-7952-494F-A47A-6296522EF4F0}"/>
    <cellStyle name="Įprastas 5 3 3 2 2 2 2 5" xfId="3720" xr:uid="{B054075A-E84C-49BC-8AD8-EF1135A789A3}"/>
    <cellStyle name="Įprastas 5 3 3 2 2 2 2_8 priedas" xfId="9518" xr:uid="{32F85BD4-0F2F-496D-93C1-159BEBC7860F}"/>
    <cellStyle name="Įprastas 5 3 3 2 2 2 3" xfId="1839" xr:uid="{CCDB710B-DA40-4C1F-9B18-89BD35713921}"/>
    <cellStyle name="Įprastas 5 3 3 2 2 2 3 2" xfId="5910" xr:uid="{6D9D8D61-BF79-4ADC-A80C-AEA636AC99DA}"/>
    <cellStyle name="Įprastas 5 3 3 2 2 2 3 3" xfId="7638" xr:uid="{EFFFA444-7983-4ED8-8906-BB304FEA7CBC}"/>
    <cellStyle name="Įprastas 5 3 3 2 2 2 3 4" xfId="4182" xr:uid="{6484850B-B8EF-4CC3-86A4-C5BCD10B1552}"/>
    <cellStyle name="Įprastas 5 3 3 2 2 2 3_8 priedas" xfId="9521" xr:uid="{D6BA6EBF-8C23-4316-982D-8ED62C7F6C63}"/>
    <cellStyle name="Įprastas 5 3 3 2 2 2 4" xfId="2453" xr:uid="{4CA3F0D3-EAA4-4B54-AF32-5A17D0773BD0}"/>
    <cellStyle name="Įprastas 5 3 3 2 2 2 4 2" xfId="5046" xr:uid="{D5FB0E8A-502A-4535-A683-9B103AE1AC96}"/>
    <cellStyle name="Įprastas 5 3 3 2 2 2 4_8 priedas" xfId="9522" xr:uid="{16DF62AD-31DC-4B06-858F-4429234ED58F}"/>
    <cellStyle name="Įprastas 5 3 3 2 2 2 5" xfId="6774" xr:uid="{92EFF4A8-D22F-4472-A9A2-C5FABFD6E873}"/>
    <cellStyle name="Įprastas 5 3 3 2 2 2 6" xfId="3318" xr:uid="{EB0F1C49-1EE2-4444-B40B-B3868CBFF6ED}"/>
    <cellStyle name="Įprastas 5 3 3 2 2 2_8 priedas" xfId="1317" xr:uid="{00000000-0005-0000-0000-00000D030000}"/>
    <cellStyle name="Įprastas 5 3 3 2 2 3" xfId="289" xr:uid="{00000000-0005-0000-0000-00000E030000}"/>
    <cellStyle name="Įprastas 5 3 3 2 2 3 2" xfId="851" xr:uid="{00000000-0005-0000-0000-00000F030000}"/>
    <cellStyle name="Įprastas 5 3 3 2 2 3 2 2" xfId="1840" xr:uid="{D97ACA46-1DEF-4BAD-ABAC-57176565C16B}"/>
    <cellStyle name="Įprastas 5 3 3 2 2 3 2 2 2" xfId="6456" xr:uid="{D1862AE1-D904-4165-A8D4-49CF0F5B3A6A}"/>
    <cellStyle name="Įprastas 5 3 3 2 2 3 2 2 3" xfId="8184" xr:uid="{DDA7A413-8D99-4C47-AEB9-F1F1061C0680}"/>
    <cellStyle name="Įprastas 5 3 3 2 2 3 2 2 4" xfId="4728" xr:uid="{3393CC8C-4B2C-4B86-9848-61A26D9A07F6}"/>
    <cellStyle name="Įprastas 5 3 3 2 2 3 2 2_8 priedas" xfId="9524" xr:uid="{36A440BE-7541-4E6B-918A-D37B10C2066E}"/>
    <cellStyle name="Įprastas 5 3 3 2 2 3 2 3" xfId="2999" xr:uid="{222773B5-C7B3-4331-86EC-E8F593E7E148}"/>
    <cellStyle name="Įprastas 5 3 3 2 2 3 2 3 2" xfId="5592" xr:uid="{697E62E5-0B63-4C4D-B7B1-8B0979EC1B07}"/>
    <cellStyle name="Įprastas 5 3 3 2 2 3 2 3_8 priedas" xfId="9525" xr:uid="{FB87ED2C-3488-4D4F-9B8B-554D00583E86}"/>
    <cellStyle name="Įprastas 5 3 3 2 2 3 2 4" xfId="7320" xr:uid="{34C65FE1-292C-49C2-8985-9C69C6E9F54F}"/>
    <cellStyle name="Įprastas 5 3 3 2 2 3 2 5" xfId="3864" xr:uid="{C2BCC903-6E95-4843-93C0-C8D76BC46B46}"/>
    <cellStyle name="Įprastas 5 3 3 2 2 3 2_8 priedas" xfId="9523" xr:uid="{8EF80C24-789D-47DA-93EE-C976ED1006FC}"/>
    <cellStyle name="Įprastas 5 3 3 2 2 3 3" xfId="1841" xr:uid="{2ACEFCD5-5F5B-4224-82F6-F1C4FA880BAB}"/>
    <cellStyle name="Įprastas 5 3 3 2 2 3 3 2" xfId="5911" xr:uid="{BC7879C7-A894-4A97-BB88-310B0E1AC45A}"/>
    <cellStyle name="Įprastas 5 3 3 2 2 3 3 3" xfId="7639" xr:uid="{06D9555D-713F-44C8-935A-DDCFD8463AE2}"/>
    <cellStyle name="Įprastas 5 3 3 2 2 3 3 4" xfId="4183" xr:uid="{C56E428A-E651-4F80-A39B-9DB54AD4070D}"/>
    <cellStyle name="Įprastas 5 3 3 2 2 3 3_8 priedas" xfId="9526" xr:uid="{5DB036BA-C731-4160-8BCD-CBFB2E083CA4}"/>
    <cellStyle name="Įprastas 5 3 3 2 2 3 4" xfId="2454" xr:uid="{F0746571-BA32-41E0-8448-B427814FA9AF}"/>
    <cellStyle name="Įprastas 5 3 3 2 2 3 4 2" xfId="5047" xr:uid="{9B25CECF-DFD1-4840-A1E1-A3ABA82AFBBD}"/>
    <cellStyle name="Įprastas 5 3 3 2 2 3 4_8 priedas" xfId="9527" xr:uid="{4DB76E3E-6643-4B37-99BC-8E7A7A9468F8}"/>
    <cellStyle name="Įprastas 5 3 3 2 2 3 5" xfId="6775" xr:uid="{B4AA6E21-F3D7-4C5F-9660-2DDB58F880F5}"/>
    <cellStyle name="Įprastas 5 3 3 2 2 3 6" xfId="3319" xr:uid="{C0FEBE00-0E94-4A47-B9A7-02730A90E1EA}"/>
    <cellStyle name="Įprastas 5 3 3 2 2 3_8 priedas" xfId="1180" xr:uid="{00000000-0005-0000-0000-000010030000}"/>
    <cellStyle name="Įprastas 5 3 3 2 2 4" xfId="563" xr:uid="{00000000-0005-0000-0000-000011030000}"/>
    <cellStyle name="Įprastas 5 3 3 2 2 4 2" xfId="1842" xr:uid="{9E6FA43D-A4D2-4297-AC9E-92C07D4CCEA0}"/>
    <cellStyle name="Įprastas 5 3 3 2 2 4 2 2" xfId="6168" xr:uid="{0EAA25C1-94EA-4EDB-8660-CF611485EF7A}"/>
    <cellStyle name="Įprastas 5 3 3 2 2 4 2 3" xfId="7896" xr:uid="{1A9FDE98-E39C-41AF-8333-220680A6C94C}"/>
    <cellStyle name="Įprastas 5 3 3 2 2 4 2 4" xfId="4440" xr:uid="{1DB30449-0110-4E6A-A3E1-EE164BFF4EB8}"/>
    <cellStyle name="Įprastas 5 3 3 2 2 4 2_8 priedas" xfId="9529" xr:uid="{3CCDC2C8-E200-406C-8905-4EFB3E8CEF82}"/>
    <cellStyle name="Įprastas 5 3 3 2 2 4 3" xfId="2711" xr:uid="{BA6AD65F-1EE9-40FA-AABE-911B9E145374}"/>
    <cellStyle name="Įprastas 5 3 3 2 2 4 3 2" xfId="5304" xr:uid="{82B500EF-F555-4E0D-83B6-57717580C364}"/>
    <cellStyle name="Įprastas 5 3 3 2 2 4 3_8 priedas" xfId="9530" xr:uid="{588E2C81-6F19-4AA3-9EDB-054694F0DE41}"/>
    <cellStyle name="Įprastas 5 3 3 2 2 4 4" xfId="7032" xr:uid="{DF5B2D06-ECA1-4A57-B0C9-BB98243F7229}"/>
    <cellStyle name="Įprastas 5 3 3 2 2 4 5" xfId="3576" xr:uid="{D0BB72EA-7180-428F-AFF9-DF97CFE6467E}"/>
    <cellStyle name="Įprastas 5 3 3 2 2 4_8 priedas" xfId="9528" xr:uid="{B1773254-1635-4672-BF26-8D0104EAFA8F}"/>
    <cellStyle name="Įprastas 5 3 3 2 2 5" xfId="1843" xr:uid="{9D4D6F6D-6380-4B06-8B07-4880D92272D3}"/>
    <cellStyle name="Įprastas 5 3 3 2 2 5 2" xfId="5909" xr:uid="{1A4968E7-153C-4A56-B31E-09105A6D5CE2}"/>
    <cellStyle name="Įprastas 5 3 3 2 2 5 3" xfId="7637" xr:uid="{16E65308-E253-45E4-A392-79CA54E9D6DB}"/>
    <cellStyle name="Įprastas 5 3 3 2 2 5 4" xfId="4181" xr:uid="{2C16EBA3-D911-4FD0-9B6A-B227B5AF7A40}"/>
    <cellStyle name="Įprastas 5 3 3 2 2 5_8 priedas" xfId="9531" xr:uid="{1D614EF7-B625-4B97-BD4F-90C19F6EE421}"/>
    <cellStyle name="Įprastas 5 3 3 2 2 6" xfId="2452" xr:uid="{50B12770-AFD0-4E12-AB68-15369D0DB5C0}"/>
    <cellStyle name="Įprastas 5 3 3 2 2 6 2" xfId="5045" xr:uid="{A125085C-FB9B-4C6F-BA7C-F93C8D9D7CE4}"/>
    <cellStyle name="Įprastas 5 3 3 2 2 6_8 priedas" xfId="9532" xr:uid="{33467CA5-8FD9-4889-AB30-6E28C86FD162}"/>
    <cellStyle name="Įprastas 5 3 3 2 2 7" xfId="6773" xr:uid="{4733F2AB-8C00-4D42-B2AD-BF3F5242CB22}"/>
    <cellStyle name="Įprastas 5 3 3 2 2 8" xfId="3317" xr:uid="{46313F92-36FB-4F83-B6E1-F64272017180}"/>
    <cellStyle name="Įprastas 5 3 3 2 2_8 priedas" xfId="1092" xr:uid="{00000000-0005-0000-0000-000012030000}"/>
    <cellStyle name="Įprastas 5 3 3 2 3" xfId="290" xr:uid="{00000000-0005-0000-0000-000013030000}"/>
    <cellStyle name="Įprastas 5 3 3 2 3 2" xfId="291" xr:uid="{00000000-0005-0000-0000-000014030000}"/>
    <cellStyle name="Įprastas 5 3 3 2 3 2 2" xfId="755" xr:uid="{00000000-0005-0000-0000-000015030000}"/>
    <cellStyle name="Įprastas 5 3 3 2 3 2 2 2" xfId="1844" xr:uid="{3C3C25D0-B91F-4106-A30C-5828FB76780B}"/>
    <cellStyle name="Įprastas 5 3 3 2 3 2 2 2 2" xfId="6360" xr:uid="{6E4AB3DC-C026-46F2-AFA2-DC0B0FBFB12F}"/>
    <cellStyle name="Įprastas 5 3 3 2 3 2 2 2 3" xfId="8088" xr:uid="{12DECE46-4811-408F-A87F-B3D29E7E496F}"/>
    <cellStyle name="Įprastas 5 3 3 2 3 2 2 2 4" xfId="4632" xr:uid="{BD7A43DF-EB18-4B6F-8B7A-5C6498FE9172}"/>
    <cellStyle name="Įprastas 5 3 3 2 3 2 2 2_8 priedas" xfId="9534" xr:uid="{A185012D-6656-4E24-85E0-B3C71580D940}"/>
    <cellStyle name="Įprastas 5 3 3 2 3 2 2 3" xfId="2903" xr:uid="{78E26D03-56CC-4C99-ACD1-B24C8EB502D1}"/>
    <cellStyle name="Įprastas 5 3 3 2 3 2 2 3 2" xfId="5496" xr:uid="{5935C17B-B1E1-4DF4-9655-80851D2B6451}"/>
    <cellStyle name="Įprastas 5 3 3 2 3 2 2 3_8 priedas" xfId="9535" xr:uid="{1B8D93CC-26ED-4623-96EA-4B799A76A0FC}"/>
    <cellStyle name="Įprastas 5 3 3 2 3 2 2 4" xfId="7224" xr:uid="{5EA1A50C-483C-47CA-8B02-DF8CBFFC1462}"/>
    <cellStyle name="Įprastas 5 3 3 2 3 2 2 5" xfId="3768" xr:uid="{59308F6C-DF2B-4042-9B7C-2757D2960004}"/>
    <cellStyle name="Įprastas 5 3 3 2 3 2 2_8 priedas" xfId="9533" xr:uid="{C2FB24FE-A24B-4ADA-9AB6-0A664F16D353}"/>
    <cellStyle name="Įprastas 5 3 3 2 3 2 3" xfId="1845" xr:uid="{C3FEF74A-760B-4477-BABD-34E5E71D6578}"/>
    <cellStyle name="Įprastas 5 3 3 2 3 2 3 2" xfId="5913" xr:uid="{E1B0A680-D3A7-468D-BF88-4B4DD7A7D725}"/>
    <cellStyle name="Įprastas 5 3 3 2 3 2 3 3" xfId="7641" xr:uid="{A9F98C72-C496-4414-8847-336102412834}"/>
    <cellStyle name="Įprastas 5 3 3 2 3 2 3 4" xfId="4185" xr:uid="{D6481688-E51C-4C91-9D47-04973AB7CE0E}"/>
    <cellStyle name="Įprastas 5 3 3 2 3 2 3_8 priedas" xfId="9536" xr:uid="{7A76E35A-46F5-43FD-91CB-E97ADAE9062C}"/>
    <cellStyle name="Įprastas 5 3 3 2 3 2 4" xfId="2456" xr:uid="{5027A89A-510C-4731-9AB2-D00D21D6730A}"/>
    <cellStyle name="Įprastas 5 3 3 2 3 2 4 2" xfId="5049" xr:uid="{94BF2124-3794-46C7-9A43-59A403058609}"/>
    <cellStyle name="Įprastas 5 3 3 2 3 2 4_8 priedas" xfId="9537" xr:uid="{3F35C1B2-7330-4322-9676-1D607F9EAEFC}"/>
    <cellStyle name="Įprastas 5 3 3 2 3 2 5" xfId="6777" xr:uid="{96D43221-BD7D-421F-BC8D-876FAD12F46F}"/>
    <cellStyle name="Įprastas 5 3 3 2 3 2 6" xfId="3321" xr:uid="{8E3E97D0-5296-425C-87BE-B91F5CDDFDC3}"/>
    <cellStyle name="Įprastas 5 3 3 2 3 2_8 priedas" xfId="1268" xr:uid="{00000000-0005-0000-0000-000016030000}"/>
    <cellStyle name="Įprastas 5 3 3 2 3 3" xfId="292" xr:uid="{00000000-0005-0000-0000-000017030000}"/>
    <cellStyle name="Įprastas 5 3 3 2 3 3 2" xfId="899" xr:uid="{00000000-0005-0000-0000-000018030000}"/>
    <cellStyle name="Įprastas 5 3 3 2 3 3 2 2" xfId="1846" xr:uid="{C5EB8004-C271-4A3E-AE09-8E9E765AC469}"/>
    <cellStyle name="Įprastas 5 3 3 2 3 3 2 2 2" xfId="6504" xr:uid="{E83DD42C-59E2-403B-B4EE-618E528FE8EA}"/>
    <cellStyle name="Įprastas 5 3 3 2 3 3 2 2 3" xfId="8232" xr:uid="{1E9BDDEB-75C6-4795-AD3F-621EC6EACB14}"/>
    <cellStyle name="Įprastas 5 3 3 2 3 3 2 2 4" xfId="4776" xr:uid="{44D90459-D21C-4E7F-A486-2783C67B5F82}"/>
    <cellStyle name="Įprastas 5 3 3 2 3 3 2 2_8 priedas" xfId="9539" xr:uid="{665FAA7D-0E68-432C-93E3-D415A0EC5D29}"/>
    <cellStyle name="Įprastas 5 3 3 2 3 3 2 3" xfId="3047" xr:uid="{0A20B035-D278-4F1B-9147-51D53F60CE6D}"/>
    <cellStyle name="Įprastas 5 3 3 2 3 3 2 3 2" xfId="5640" xr:uid="{7CCD0CF3-EB0A-4577-B10C-8CE8A2ABA76F}"/>
    <cellStyle name="Įprastas 5 3 3 2 3 3 2 3_8 priedas" xfId="9540" xr:uid="{6B66F57D-52FE-4BDD-8CCD-C95C104F8F4E}"/>
    <cellStyle name="Įprastas 5 3 3 2 3 3 2 4" xfId="7368" xr:uid="{925BBE5B-3866-466E-A611-0B8EE88EDF79}"/>
    <cellStyle name="Įprastas 5 3 3 2 3 3 2 5" xfId="3912" xr:uid="{44FC50FC-AA8B-48DD-BAD0-83DE5A88BC60}"/>
    <cellStyle name="Įprastas 5 3 3 2 3 3 2_8 priedas" xfId="9538" xr:uid="{53A2D85A-2720-48D9-A750-A7DFCFDB4D46}"/>
    <cellStyle name="Įprastas 5 3 3 2 3 3 3" xfId="1847" xr:uid="{9F58CAC2-869F-4DAD-A5C7-BE00E7DFDD5C}"/>
    <cellStyle name="Įprastas 5 3 3 2 3 3 3 2" xfId="5914" xr:uid="{6DB025CB-7551-4BBB-8EA8-B763FF7DF0FF}"/>
    <cellStyle name="Įprastas 5 3 3 2 3 3 3 3" xfId="7642" xr:uid="{F24DB0F9-605B-40D5-84BD-2E66EA8D67FD}"/>
    <cellStyle name="Įprastas 5 3 3 2 3 3 3 4" xfId="4186" xr:uid="{C2AD5A21-C772-445E-B270-7BECDD2CABE4}"/>
    <cellStyle name="Įprastas 5 3 3 2 3 3 3_8 priedas" xfId="9541" xr:uid="{174D7B52-B2DA-4DD5-A0AD-902C80E1B298}"/>
    <cellStyle name="Įprastas 5 3 3 2 3 3 4" xfId="2457" xr:uid="{231CC879-C53C-4E9A-B60C-EEE4F27E72B3}"/>
    <cellStyle name="Įprastas 5 3 3 2 3 3 4 2" xfId="5050" xr:uid="{750A7429-BF06-402D-A64A-EC90FEC9C521}"/>
    <cellStyle name="Įprastas 5 3 3 2 3 3 4_8 priedas" xfId="9542" xr:uid="{7319EBD0-7592-4D0D-A500-D3BBA83D1094}"/>
    <cellStyle name="Įprastas 5 3 3 2 3 3 5" xfId="6778" xr:uid="{8701C230-CF57-453F-81FB-A8CEC466DC92}"/>
    <cellStyle name="Įprastas 5 3 3 2 3 3 6" xfId="3322" xr:uid="{3318D7B7-A5AB-434A-90A4-BF9AC1DB8755}"/>
    <cellStyle name="Įprastas 5 3 3 2 3 3_8 priedas" xfId="1132" xr:uid="{00000000-0005-0000-0000-000019030000}"/>
    <cellStyle name="Įprastas 5 3 3 2 3 4" xfId="611" xr:uid="{00000000-0005-0000-0000-00001A030000}"/>
    <cellStyle name="Įprastas 5 3 3 2 3 4 2" xfId="1848" xr:uid="{9004B500-5E14-4E85-B947-E13764BB0190}"/>
    <cellStyle name="Įprastas 5 3 3 2 3 4 2 2" xfId="6216" xr:uid="{6652A13A-BAED-4CC9-AFC5-025CA6F64292}"/>
    <cellStyle name="Įprastas 5 3 3 2 3 4 2 3" xfId="7944" xr:uid="{E7A1C4E8-AF3A-4C91-B6B7-D686AA0B8E46}"/>
    <cellStyle name="Įprastas 5 3 3 2 3 4 2 4" xfId="4488" xr:uid="{A3394C80-583F-4203-94BF-E29046071555}"/>
    <cellStyle name="Įprastas 5 3 3 2 3 4 2_8 priedas" xfId="9544" xr:uid="{5BB1B543-04E8-4C9A-815C-362115253EC9}"/>
    <cellStyle name="Įprastas 5 3 3 2 3 4 3" xfId="2759" xr:uid="{4E418CD5-BD29-4500-842C-E3AA9519E79D}"/>
    <cellStyle name="Įprastas 5 3 3 2 3 4 3 2" xfId="5352" xr:uid="{F01F52EC-E59B-4EC1-B243-05DA7C0F0446}"/>
    <cellStyle name="Įprastas 5 3 3 2 3 4 3_8 priedas" xfId="9545" xr:uid="{00541EEC-05AF-41F7-BDD7-046997CBE809}"/>
    <cellStyle name="Įprastas 5 3 3 2 3 4 4" xfId="7080" xr:uid="{F3AFDC08-53AE-4C90-8629-E560A87DDC68}"/>
    <cellStyle name="Įprastas 5 3 3 2 3 4 5" xfId="3624" xr:uid="{AB450B7D-B8CE-44C9-BF2A-BD485E810509}"/>
    <cellStyle name="Įprastas 5 3 3 2 3 4_8 priedas" xfId="9543" xr:uid="{5B5D4812-FDFA-45C5-BE8D-4A2AD0AAAE28}"/>
    <cellStyle name="Įprastas 5 3 3 2 3 5" xfId="1849" xr:uid="{FC1876B1-7760-48F7-89C4-88532487D069}"/>
    <cellStyle name="Įprastas 5 3 3 2 3 5 2" xfId="5912" xr:uid="{547B1D80-B8A6-454B-9828-E7922F4EA9E1}"/>
    <cellStyle name="Įprastas 5 3 3 2 3 5 3" xfId="7640" xr:uid="{EC861DDE-D3A0-4460-AEC8-8142776B7023}"/>
    <cellStyle name="Įprastas 5 3 3 2 3 5 4" xfId="4184" xr:uid="{3415CBC7-AF4B-4300-843E-1FB9056810B8}"/>
    <cellStyle name="Įprastas 5 3 3 2 3 5_8 priedas" xfId="9546" xr:uid="{6B633BA7-2FCD-42E3-85E0-D4323D43B1E9}"/>
    <cellStyle name="Įprastas 5 3 3 2 3 6" xfId="2455" xr:uid="{CA390912-2B68-4CE6-8351-1768A61CEAF3}"/>
    <cellStyle name="Įprastas 5 3 3 2 3 6 2" xfId="5048" xr:uid="{EE1D70A9-051C-4539-8756-28FF8C5AF661}"/>
    <cellStyle name="Įprastas 5 3 3 2 3 6_8 priedas" xfId="9547" xr:uid="{80AEC321-025A-474B-9319-013AC6B9F173}"/>
    <cellStyle name="Įprastas 5 3 3 2 3 7" xfId="6776" xr:uid="{4A524B71-DA16-41EC-A7E0-A14EE582D67F}"/>
    <cellStyle name="Įprastas 5 3 3 2 3 8" xfId="3320" xr:uid="{037CDF8B-A287-48B6-AE3F-77AE43299C18}"/>
    <cellStyle name="Įprastas 5 3 3 2 3_8 priedas" xfId="1044" xr:uid="{00000000-0005-0000-0000-00001B030000}"/>
    <cellStyle name="Įprastas 5 3 3 2 4" xfId="293" xr:uid="{00000000-0005-0000-0000-00001C030000}"/>
    <cellStyle name="Įprastas 5 3 3 2 4 2" xfId="659" xr:uid="{00000000-0005-0000-0000-00001D030000}"/>
    <cellStyle name="Įprastas 5 3 3 2 4 2 2" xfId="1850" xr:uid="{4CA7AC1E-C76F-438B-B07B-0B8244A98744}"/>
    <cellStyle name="Įprastas 5 3 3 2 4 2 2 2" xfId="6264" xr:uid="{9AB241F9-C658-4E5B-9B2B-26C0514E86CF}"/>
    <cellStyle name="Įprastas 5 3 3 2 4 2 2 3" xfId="7992" xr:uid="{21A92A0D-11B4-4CA4-BDF7-E56EA78E9C75}"/>
    <cellStyle name="Įprastas 5 3 3 2 4 2 2 4" xfId="4536" xr:uid="{7AC444ED-4C05-4543-A065-1A889CC0B6AB}"/>
    <cellStyle name="Įprastas 5 3 3 2 4 2 2_8 priedas" xfId="9549" xr:uid="{31B45644-999F-489D-8A44-5CD4526AC85F}"/>
    <cellStyle name="Įprastas 5 3 3 2 4 2 3" xfId="2807" xr:uid="{39116DDD-13B9-4DDB-8C12-6AE55A7A8821}"/>
    <cellStyle name="Įprastas 5 3 3 2 4 2 3 2" xfId="5400" xr:uid="{2FFE240D-641E-4140-9A37-161964350881}"/>
    <cellStyle name="Įprastas 5 3 3 2 4 2 3_8 priedas" xfId="9550" xr:uid="{8C304F8F-6EF6-4B1C-9545-31F1030BF441}"/>
    <cellStyle name="Įprastas 5 3 3 2 4 2 4" xfId="7128" xr:uid="{2F8A6D89-9EA3-45C6-9248-EBD75D1B87FC}"/>
    <cellStyle name="Įprastas 5 3 3 2 4 2 5" xfId="3672" xr:uid="{E61C5217-3832-4EB6-A71F-5CBA259DEA2E}"/>
    <cellStyle name="Įprastas 5 3 3 2 4 2_8 priedas" xfId="9548" xr:uid="{A8E68033-B267-4FA2-893D-946A70B181A1}"/>
    <cellStyle name="Įprastas 5 3 3 2 4 3" xfId="1851" xr:uid="{7A74EAC4-A4F6-4D4C-989B-C5C4A74CA5DC}"/>
    <cellStyle name="Įprastas 5 3 3 2 4 3 2" xfId="5915" xr:uid="{48C40A16-2C8E-4D59-BA3A-4C1E33059A19}"/>
    <cellStyle name="Įprastas 5 3 3 2 4 3 3" xfId="7643" xr:uid="{95735254-B5C3-47BD-87AB-E7848273139E}"/>
    <cellStyle name="Įprastas 5 3 3 2 4 3 4" xfId="4187" xr:uid="{FCC6CDE1-26FD-41A0-96E8-CC576F723CC0}"/>
    <cellStyle name="Įprastas 5 3 3 2 4 3_8 priedas" xfId="9551" xr:uid="{14B0FE1B-BDBE-45CC-AF21-0FC131C89EF5}"/>
    <cellStyle name="Įprastas 5 3 3 2 4 4" xfId="2458" xr:uid="{1C12CD02-E411-470B-ADD8-918A353DB85D}"/>
    <cellStyle name="Įprastas 5 3 3 2 4 4 2" xfId="5051" xr:uid="{19C29DEE-AEAE-42BD-9CC0-97A1ACC4DDFF}"/>
    <cellStyle name="Įprastas 5 3 3 2 4 4_8 priedas" xfId="9552" xr:uid="{B2FDD77C-F805-41B7-9BE1-313CE6BA9DC6}"/>
    <cellStyle name="Įprastas 5 3 3 2 4 5" xfId="6779" xr:uid="{2A5164FE-B50E-43A1-9747-DAF1E47454BB}"/>
    <cellStyle name="Įprastas 5 3 3 2 4 6" xfId="3323" xr:uid="{48C8B913-63E9-4CE4-8EF6-FF63905562B4}"/>
    <cellStyle name="Įprastas 5 3 3 2 4_8 priedas" xfId="996" xr:uid="{00000000-0005-0000-0000-00001E030000}"/>
    <cellStyle name="Įprastas 5 3 3 2 5" xfId="294" xr:uid="{00000000-0005-0000-0000-00001F030000}"/>
    <cellStyle name="Įprastas 5 3 3 2 5 2" xfId="803" xr:uid="{00000000-0005-0000-0000-000020030000}"/>
    <cellStyle name="Įprastas 5 3 3 2 5 2 2" xfId="1852" xr:uid="{B64A4999-A43B-46A1-94E4-B673FD5A3A0D}"/>
    <cellStyle name="Įprastas 5 3 3 2 5 2 2 2" xfId="6408" xr:uid="{3D82D4A7-3A83-485E-BC70-517B9FB29358}"/>
    <cellStyle name="Įprastas 5 3 3 2 5 2 2 3" xfId="8136" xr:uid="{8668CFE1-7C32-442C-BD21-1B090555BB41}"/>
    <cellStyle name="Įprastas 5 3 3 2 5 2 2 4" xfId="4680" xr:uid="{283AD67E-EE31-44A4-9B23-DED95A0C36BA}"/>
    <cellStyle name="Įprastas 5 3 3 2 5 2 2_8 priedas" xfId="9554" xr:uid="{676BB886-67B1-4561-8BB3-728072DB21F8}"/>
    <cellStyle name="Įprastas 5 3 3 2 5 2 3" xfId="2951" xr:uid="{BC308E96-FDDF-48E2-BF36-403E9705DA37}"/>
    <cellStyle name="Įprastas 5 3 3 2 5 2 3 2" xfId="5544" xr:uid="{B1010D84-9C3D-4C6B-A9C6-0AAEFA96FFF0}"/>
    <cellStyle name="Įprastas 5 3 3 2 5 2 3_8 priedas" xfId="9555" xr:uid="{F762E136-5EF8-4E6B-8FC5-F2DFEE96849A}"/>
    <cellStyle name="Įprastas 5 3 3 2 5 2 4" xfId="7272" xr:uid="{FB7352B9-3067-44A4-97AD-E3EC4A450943}"/>
    <cellStyle name="Įprastas 5 3 3 2 5 2 5" xfId="3816" xr:uid="{A62FBEBB-6719-4847-AF9D-96D3FF065D1B}"/>
    <cellStyle name="Įprastas 5 3 3 2 5 2_8 priedas" xfId="9553" xr:uid="{57D2CF51-91E3-4EBD-B9E1-F3CC0D957B36}"/>
    <cellStyle name="Įprastas 5 3 3 2 5 3" xfId="1853" xr:uid="{76D38C50-FD45-4BDC-B31A-1842F80D0412}"/>
    <cellStyle name="Įprastas 5 3 3 2 5 3 2" xfId="5916" xr:uid="{F184A3E5-1DDF-4E53-A41B-B8C75E6D317B}"/>
    <cellStyle name="Įprastas 5 3 3 2 5 3 3" xfId="7644" xr:uid="{9DC74F4F-F1DD-425A-9FF8-69E0CDA55ACA}"/>
    <cellStyle name="Įprastas 5 3 3 2 5 3 4" xfId="4188" xr:uid="{455B4169-60D0-480E-A8FB-FAE11F8D22C9}"/>
    <cellStyle name="Įprastas 5 3 3 2 5 3_8 priedas" xfId="9556" xr:uid="{1BF1CDA2-3040-4033-B2B7-17ECAF77F313}"/>
    <cellStyle name="Įprastas 5 3 3 2 5 4" xfId="2459" xr:uid="{40E7A8F7-7502-4095-AB22-9AD846120C64}"/>
    <cellStyle name="Įprastas 5 3 3 2 5 4 2" xfId="5052" xr:uid="{03E4EBE3-8D1C-4ED5-9980-0B7D6116A990}"/>
    <cellStyle name="Įprastas 5 3 3 2 5 4_8 priedas" xfId="9557" xr:uid="{690F32B8-0508-4FBD-8719-6B792EC79605}"/>
    <cellStyle name="Įprastas 5 3 3 2 5 5" xfId="6780" xr:uid="{3E8B10A6-74F5-4648-A260-E7C46879FA62}"/>
    <cellStyle name="Įprastas 5 3 3 2 5 6" xfId="3324" xr:uid="{CF5994C2-03FB-4226-BF3E-9A5D2FB011E5}"/>
    <cellStyle name="Įprastas 5 3 3 2 5_8 priedas" xfId="955" xr:uid="{00000000-0005-0000-0000-000021030000}"/>
    <cellStyle name="Įprastas 5 3 3 2 6" xfId="515" xr:uid="{00000000-0005-0000-0000-000022030000}"/>
    <cellStyle name="Įprastas 5 3 3 2 6 2" xfId="1854" xr:uid="{1EAACBA8-45B0-4F82-B7DB-2B8A07EDD257}"/>
    <cellStyle name="Įprastas 5 3 3 2 6 2 2" xfId="6120" xr:uid="{061782FF-4BC3-4303-802F-BEBFBD10E889}"/>
    <cellStyle name="Įprastas 5 3 3 2 6 2 3" xfId="7848" xr:uid="{C5E1FD6C-CF81-4FBC-B7FE-898B446AFD64}"/>
    <cellStyle name="Įprastas 5 3 3 2 6 2 4" xfId="4392" xr:uid="{CF23EA23-B7FD-459C-84DA-C7550DCEAC20}"/>
    <cellStyle name="Įprastas 5 3 3 2 6 2_8 priedas" xfId="9559" xr:uid="{B904FCB7-85BD-4E36-81F4-1703F15A52F9}"/>
    <cellStyle name="Įprastas 5 3 3 2 6 3" xfId="2663" xr:uid="{A4B0BEAD-1B7E-4016-89A0-F6A42F7FDCF9}"/>
    <cellStyle name="Įprastas 5 3 3 2 6 3 2" xfId="5256" xr:uid="{A4ED5FFD-FAD8-4F0A-8007-F36381B34F64}"/>
    <cellStyle name="Įprastas 5 3 3 2 6 3_8 priedas" xfId="9560" xr:uid="{347BFD20-A1CA-4EC1-B618-7AC1EF5B25CB}"/>
    <cellStyle name="Įprastas 5 3 3 2 6 4" xfId="6984" xr:uid="{BA8B37C1-480A-456C-9DF8-26AAFC2AF6D3}"/>
    <cellStyle name="Įprastas 5 3 3 2 6 5" xfId="3528" xr:uid="{112DA59A-A5BB-4C11-B1A0-3B77853EF7F6}"/>
    <cellStyle name="Įprastas 5 3 3 2 6_8 priedas" xfId="9558" xr:uid="{F6D9C4D7-88E4-45F4-AA80-109651CB40F7}"/>
    <cellStyle name="Įprastas 5 3 3 2 7" xfId="1855" xr:uid="{4ECC3E82-DACF-44D7-AA80-6D1961360E0E}"/>
    <cellStyle name="Įprastas 5 3 3 2 7 2" xfId="5908" xr:uid="{32B05C08-6EC6-4791-81AF-BA8C8D9CC383}"/>
    <cellStyle name="Įprastas 5 3 3 2 7 3" xfId="7636" xr:uid="{E36FD670-674C-4AC3-A377-97BD9B1BF436}"/>
    <cellStyle name="Įprastas 5 3 3 2 7 4" xfId="4180" xr:uid="{74AF7D94-FFD5-4008-8925-D39C7DBEED61}"/>
    <cellStyle name="Įprastas 5 3 3 2 7_8 priedas" xfId="9561" xr:uid="{2A081B16-23C6-42E8-8703-D14417113128}"/>
    <cellStyle name="Įprastas 5 3 3 2 8" xfId="2451" xr:uid="{FAA9FAC9-FAAC-4751-93EE-BC1CB0B925D6}"/>
    <cellStyle name="Įprastas 5 3 3 2 8 2" xfId="5044" xr:uid="{8A2C1FE2-B75F-4B17-9718-13C8B6F3503B}"/>
    <cellStyle name="Įprastas 5 3 3 2 8_8 priedas" xfId="9562" xr:uid="{7C2F9160-F040-4605-96E3-4ADEDB9EB4EB}"/>
    <cellStyle name="Įprastas 5 3 3 2 9" xfId="6772" xr:uid="{DC67B504-BE72-42BD-B930-F2E74E691030}"/>
    <cellStyle name="Įprastas 5 3 3 2_8 priedas" xfId="1226" xr:uid="{00000000-0005-0000-0000-000023030000}"/>
    <cellStyle name="Įprastas 5 3 3 3" xfId="295" xr:uid="{00000000-0005-0000-0000-000024030000}"/>
    <cellStyle name="Įprastas 5 3 3 3 2" xfId="296" xr:uid="{00000000-0005-0000-0000-000025030000}"/>
    <cellStyle name="Įprastas 5 3 3 3 2 2" xfId="683" xr:uid="{00000000-0005-0000-0000-000026030000}"/>
    <cellStyle name="Įprastas 5 3 3 3 2 2 2" xfId="1856" xr:uid="{99CE99EB-6313-4440-A4BE-F3CC297C176A}"/>
    <cellStyle name="Įprastas 5 3 3 3 2 2 2 2" xfId="6288" xr:uid="{EB66B798-450A-447E-B87E-92409431C9D1}"/>
    <cellStyle name="Įprastas 5 3 3 3 2 2 2 3" xfId="8016" xr:uid="{CC004C13-7204-467E-85B8-3AAB360A2E9E}"/>
    <cellStyle name="Įprastas 5 3 3 3 2 2 2 4" xfId="4560" xr:uid="{DC8271CE-B598-4A96-9D24-6F744E5D1840}"/>
    <cellStyle name="Įprastas 5 3 3 3 2 2 2_8 priedas" xfId="9564" xr:uid="{D5301F7F-63FF-4ECB-A975-3003310FABEE}"/>
    <cellStyle name="Įprastas 5 3 3 3 2 2 3" xfId="2831" xr:uid="{78EF5E48-2C4F-4A70-8386-BFAA49BB267E}"/>
    <cellStyle name="Įprastas 5 3 3 3 2 2 3 2" xfId="5424" xr:uid="{F0CB8791-96C1-43B8-A106-00D8297C050A}"/>
    <cellStyle name="Įprastas 5 3 3 3 2 2 3_8 priedas" xfId="9565" xr:uid="{2D107FF5-3D48-47DE-BFB6-DF08C86066E3}"/>
    <cellStyle name="Įprastas 5 3 3 3 2 2 4" xfId="7152" xr:uid="{0B721FD5-0B22-42DF-8083-D7398C16FA8A}"/>
    <cellStyle name="Įprastas 5 3 3 3 2 2 5" xfId="3696" xr:uid="{2AC41614-883D-4E6B-BB49-F1489B1B61B5}"/>
    <cellStyle name="Įprastas 5 3 3 3 2 2_8 priedas" xfId="9563" xr:uid="{BEE80953-0BFA-4401-A880-2F8B3CE1E9E7}"/>
    <cellStyle name="Įprastas 5 3 3 3 2 3" xfId="1857" xr:uid="{73CB7ED0-E9B6-4E2A-99A7-D3254228AD8E}"/>
    <cellStyle name="Įprastas 5 3 3 3 2 3 2" xfId="5918" xr:uid="{2E1CDB91-DD3D-4EFB-A1E7-C86B5653D9D2}"/>
    <cellStyle name="Įprastas 5 3 3 3 2 3 3" xfId="7646" xr:uid="{50FED7E4-D934-4D55-98D0-5446F5849E58}"/>
    <cellStyle name="Įprastas 5 3 3 3 2 3 4" xfId="4190" xr:uid="{E3F78B87-779C-43D2-BF95-1F84054FDED7}"/>
    <cellStyle name="Įprastas 5 3 3 3 2 3_8 priedas" xfId="9566" xr:uid="{15266119-C3B3-4BEB-B748-1443819E3374}"/>
    <cellStyle name="Įprastas 5 3 3 3 2 4" xfId="2461" xr:uid="{2B7E8500-83B7-4781-A32E-D93B67CB408A}"/>
    <cellStyle name="Įprastas 5 3 3 3 2 4 2" xfId="5054" xr:uid="{9D4B1346-BF8A-4D85-BD6B-C3AD6BCE127D}"/>
    <cellStyle name="Įprastas 5 3 3 3 2 4_8 priedas" xfId="9567" xr:uid="{0E541ED9-8F79-4853-9A18-367A845CA36B}"/>
    <cellStyle name="Įprastas 5 3 3 3 2 5" xfId="6782" xr:uid="{D8F6F3DC-E41C-4751-9757-365F4131209D}"/>
    <cellStyle name="Įprastas 5 3 3 3 2 6" xfId="3326" xr:uid="{6CC520B4-8B5C-41B9-AAA6-12A26772BECE}"/>
    <cellStyle name="Įprastas 5 3 3 3 2_8 priedas" xfId="938" xr:uid="{00000000-0005-0000-0000-000027030000}"/>
    <cellStyle name="Įprastas 5 3 3 3 3" xfId="297" xr:uid="{00000000-0005-0000-0000-000028030000}"/>
    <cellStyle name="Įprastas 5 3 3 3 3 2" xfId="827" xr:uid="{00000000-0005-0000-0000-000029030000}"/>
    <cellStyle name="Įprastas 5 3 3 3 3 2 2" xfId="1858" xr:uid="{9541447E-D13A-4B23-8288-F85FE3FA21FB}"/>
    <cellStyle name="Įprastas 5 3 3 3 3 2 2 2" xfId="6432" xr:uid="{4F50ED6F-5B46-4507-A019-944A050A8BB5}"/>
    <cellStyle name="Įprastas 5 3 3 3 3 2 2 3" xfId="8160" xr:uid="{E043587B-74F8-4152-90B6-2812317E0C5F}"/>
    <cellStyle name="Įprastas 5 3 3 3 3 2 2 4" xfId="4704" xr:uid="{B3CCEB55-CE95-492B-ADDA-EE4A0D5B6EE3}"/>
    <cellStyle name="Įprastas 5 3 3 3 3 2 2_8 priedas" xfId="9569" xr:uid="{197691B1-F293-494C-AF87-0C8BA27821D5}"/>
    <cellStyle name="Įprastas 5 3 3 3 3 2 3" xfId="2975" xr:uid="{1E8FA286-E622-4160-A2CC-4426FF9F6D30}"/>
    <cellStyle name="Įprastas 5 3 3 3 3 2 3 2" xfId="5568" xr:uid="{2D754BD5-69A0-4D74-9862-320EECDC976D}"/>
    <cellStyle name="Įprastas 5 3 3 3 3 2 3_8 priedas" xfId="9570" xr:uid="{519C4B8E-7634-4AF6-870F-1A4AD3877B99}"/>
    <cellStyle name="Įprastas 5 3 3 3 3 2 4" xfId="7296" xr:uid="{DF98E743-C24A-42F7-BA9A-B466A23C623C}"/>
    <cellStyle name="Įprastas 5 3 3 3 3 2 5" xfId="3840" xr:uid="{FE5E33EE-E664-495F-BFC4-3211071BD97F}"/>
    <cellStyle name="Įprastas 5 3 3 3 3 2_8 priedas" xfId="9568" xr:uid="{6AEC7F3F-9B00-41DA-870A-D6B3549F89C8}"/>
    <cellStyle name="Įprastas 5 3 3 3 3 3" xfId="1859" xr:uid="{3E3C6165-B0D6-41A6-8FBF-1E16CC05401A}"/>
    <cellStyle name="Įprastas 5 3 3 3 3 3 2" xfId="5919" xr:uid="{C75C582A-EA02-4236-9997-35AFAE2DC3D9}"/>
    <cellStyle name="Įprastas 5 3 3 3 3 3 3" xfId="7647" xr:uid="{3935865F-AB0F-4F04-B5BD-33FC383A2D91}"/>
    <cellStyle name="Įprastas 5 3 3 3 3 3 4" xfId="4191" xr:uid="{B87DBBC0-C48C-44D6-AAE3-858465BBB3EB}"/>
    <cellStyle name="Įprastas 5 3 3 3 3 3_8 priedas" xfId="9571" xr:uid="{EBA84CA0-A65E-4188-82B4-7EF2CC019E2A}"/>
    <cellStyle name="Įprastas 5 3 3 3 3 4" xfId="2462" xr:uid="{68A2FC61-EF92-4C5F-90E1-617522C24903}"/>
    <cellStyle name="Įprastas 5 3 3 3 3 4 2" xfId="5055" xr:uid="{1D02AB23-5A70-4FC4-B1ED-972128A442C3}"/>
    <cellStyle name="Įprastas 5 3 3 3 3 4_8 priedas" xfId="9572" xr:uid="{C0D2352A-BE3A-4816-8145-FB64011FABCC}"/>
    <cellStyle name="Įprastas 5 3 3 3 3 5" xfId="6783" xr:uid="{0E96B72A-A56E-4BAD-9373-66158C8A6252}"/>
    <cellStyle name="Įprastas 5 3 3 3 3 6" xfId="3327" xr:uid="{93D6882D-36DD-49E7-8085-7C4B9D5F51ED}"/>
    <cellStyle name="Įprastas 5 3 3 3 3_8 priedas" xfId="1196" xr:uid="{00000000-0005-0000-0000-00002A030000}"/>
    <cellStyle name="Įprastas 5 3 3 3 4" xfId="539" xr:uid="{00000000-0005-0000-0000-00002B030000}"/>
    <cellStyle name="Įprastas 5 3 3 3 4 2" xfId="1860" xr:uid="{0DDCA920-128C-4E23-86B5-E8468EE49996}"/>
    <cellStyle name="Įprastas 5 3 3 3 4 2 2" xfId="6144" xr:uid="{07C6AD47-DB5D-4303-9E83-573890B87E89}"/>
    <cellStyle name="Įprastas 5 3 3 3 4 2 3" xfId="7872" xr:uid="{6B62E89C-9E6F-4F8D-ACF5-91E6809D525C}"/>
    <cellStyle name="Įprastas 5 3 3 3 4 2 4" xfId="4416" xr:uid="{61B03B35-C44C-4E53-959D-E9014BF266EC}"/>
    <cellStyle name="Įprastas 5 3 3 3 4 2_8 priedas" xfId="9574" xr:uid="{3CA3A760-D4BF-422F-AE11-D5906CDAB45F}"/>
    <cellStyle name="Įprastas 5 3 3 3 4 3" xfId="2687" xr:uid="{BF24BD3D-B01A-4247-B763-2BAA93CDD7A6}"/>
    <cellStyle name="Įprastas 5 3 3 3 4 3 2" xfId="5280" xr:uid="{49BFC988-8315-4BDF-90C6-BE1B49E18EF5}"/>
    <cellStyle name="Įprastas 5 3 3 3 4 3_8 priedas" xfId="9575" xr:uid="{50DA0C81-73A3-4FAA-839A-A2B45DFF1F39}"/>
    <cellStyle name="Įprastas 5 3 3 3 4 4" xfId="7008" xr:uid="{0485B611-0B21-42DF-A98D-246B9507E5CE}"/>
    <cellStyle name="Įprastas 5 3 3 3 4 5" xfId="3552" xr:uid="{7026B844-55F0-4D46-8E8A-1137D4DC9D71}"/>
    <cellStyle name="Įprastas 5 3 3 3 4_8 priedas" xfId="9573" xr:uid="{9B7F871F-7628-4BE4-B282-BA8C56C08FFE}"/>
    <cellStyle name="Įprastas 5 3 3 3 5" xfId="1861" xr:uid="{D0C3B22A-1A35-42A8-B54A-6BED2E9CE24A}"/>
    <cellStyle name="Įprastas 5 3 3 3 5 2" xfId="5917" xr:uid="{4728B5AE-235B-4FDB-9270-7410DCBDDC69}"/>
    <cellStyle name="Įprastas 5 3 3 3 5 3" xfId="7645" xr:uid="{E0175525-1D97-48D6-85C2-722D4B039D9B}"/>
    <cellStyle name="Įprastas 5 3 3 3 5 4" xfId="4189" xr:uid="{F1D166F6-7B2C-4F08-B260-51B477E1CEEA}"/>
    <cellStyle name="Įprastas 5 3 3 3 5_8 priedas" xfId="9576" xr:uid="{258334D8-9769-4E4F-A4D9-EA88345BBC9A}"/>
    <cellStyle name="Įprastas 5 3 3 3 6" xfId="2460" xr:uid="{DDC43917-9412-4648-8A7D-4F72B66645E3}"/>
    <cellStyle name="Įprastas 5 3 3 3 6 2" xfId="5053" xr:uid="{0CD20E7F-CDC9-4F70-9CDD-71C2D5547F8B}"/>
    <cellStyle name="Įprastas 5 3 3 3 6_8 priedas" xfId="9577" xr:uid="{931EC0E8-3A2B-4896-A6C1-754E7FDEA368}"/>
    <cellStyle name="Įprastas 5 3 3 3 7" xfId="6781" xr:uid="{6A500754-83EE-424C-93F0-09C09DD82FFE}"/>
    <cellStyle name="Įprastas 5 3 3 3 8" xfId="3325" xr:uid="{C0917D24-CBA7-4404-A729-60CE8CCA85BB}"/>
    <cellStyle name="Įprastas 5 3 3 3_8 priedas" xfId="926" xr:uid="{00000000-0005-0000-0000-00002C030000}"/>
    <cellStyle name="Įprastas 5 3 3 4" xfId="298" xr:uid="{00000000-0005-0000-0000-00002D030000}"/>
    <cellStyle name="Įprastas 5 3 3 4 2" xfId="299" xr:uid="{00000000-0005-0000-0000-00002E030000}"/>
    <cellStyle name="Įprastas 5 3 3 4 2 2" xfId="731" xr:uid="{00000000-0005-0000-0000-00002F030000}"/>
    <cellStyle name="Įprastas 5 3 3 4 2 2 2" xfId="1862" xr:uid="{FABA25E7-0C13-42E6-B629-7C7F92CB546B}"/>
    <cellStyle name="Įprastas 5 3 3 4 2 2 2 2" xfId="6336" xr:uid="{ED51FF97-5870-4022-9C05-1CDFC2CAF8FC}"/>
    <cellStyle name="Įprastas 5 3 3 4 2 2 2 3" xfId="8064" xr:uid="{E0D3E252-FE71-4311-874A-8F146BACFD92}"/>
    <cellStyle name="Įprastas 5 3 3 4 2 2 2 4" xfId="4608" xr:uid="{2357E0F8-B6E5-48CD-AE8B-A084E7EB2290}"/>
    <cellStyle name="Įprastas 5 3 3 4 2 2 2_8 priedas" xfId="9579" xr:uid="{10B7E9AE-70A4-46F6-9813-3CD5F1193290}"/>
    <cellStyle name="Įprastas 5 3 3 4 2 2 3" xfId="2879" xr:uid="{799747E4-F4A7-45D9-BDEF-04A7ABFF7354}"/>
    <cellStyle name="Įprastas 5 3 3 4 2 2 3 2" xfId="5472" xr:uid="{1FA630AB-F89B-4B9C-A0F6-E9C61238BF92}"/>
    <cellStyle name="Įprastas 5 3 3 4 2 2 3_8 priedas" xfId="9580" xr:uid="{44C50B85-D433-4A7E-A78F-39247A68FDE7}"/>
    <cellStyle name="Įprastas 5 3 3 4 2 2 4" xfId="7200" xr:uid="{538B5732-0E13-4417-AC7C-6D5085BE9189}"/>
    <cellStyle name="Įprastas 5 3 3 4 2 2 5" xfId="3744" xr:uid="{B77CB9B4-95CE-408A-A4B9-757C1158F201}"/>
    <cellStyle name="Įprastas 5 3 3 4 2 2_8 priedas" xfId="9578" xr:uid="{C50C1A96-3B89-41B1-8ADD-F00D99630207}"/>
    <cellStyle name="Įprastas 5 3 3 4 2 3" xfId="1863" xr:uid="{13A9B52F-2844-4C9F-8390-0478BB85C27F}"/>
    <cellStyle name="Įprastas 5 3 3 4 2 3 2" xfId="5921" xr:uid="{D1464C9B-6DCB-49E7-8B49-1B8A962A8242}"/>
    <cellStyle name="Įprastas 5 3 3 4 2 3 3" xfId="7649" xr:uid="{3EEE2397-6EAB-4E1B-B527-F8EEF7D2AEA9}"/>
    <cellStyle name="Įprastas 5 3 3 4 2 3 4" xfId="4193" xr:uid="{CD308CCB-AA08-41E2-A926-BC9490072421}"/>
    <cellStyle name="Įprastas 5 3 3 4 2 3_8 priedas" xfId="9581" xr:uid="{6561CEFB-846D-4CF4-8016-958F9E15A24F}"/>
    <cellStyle name="Įprastas 5 3 3 4 2 4" xfId="2464" xr:uid="{6D43E38D-10BC-4BEC-820C-5DD37D20E808}"/>
    <cellStyle name="Įprastas 5 3 3 4 2 4 2" xfId="5057" xr:uid="{9FD5DA2F-F428-4AA1-ACEA-EFDF680F23F5}"/>
    <cellStyle name="Įprastas 5 3 3 4 2 4_8 priedas" xfId="9582" xr:uid="{97F117BA-6324-401E-81F1-C49085D4C938}"/>
    <cellStyle name="Įprastas 5 3 3 4 2 5" xfId="6785" xr:uid="{460DBB8F-830B-48D0-ABCC-C8BD99C69F08}"/>
    <cellStyle name="Įprastas 5 3 3 4 2 6" xfId="3329" xr:uid="{1EBEF3A1-5EEA-4143-9B43-7DD39008C661}"/>
    <cellStyle name="Įprastas 5 3 3 4 2_8 priedas" xfId="1287" xr:uid="{00000000-0005-0000-0000-000030030000}"/>
    <cellStyle name="Įprastas 5 3 3 4 3" xfId="300" xr:uid="{00000000-0005-0000-0000-000031030000}"/>
    <cellStyle name="Įprastas 5 3 3 4 3 2" xfId="875" xr:uid="{00000000-0005-0000-0000-000032030000}"/>
    <cellStyle name="Įprastas 5 3 3 4 3 2 2" xfId="1864" xr:uid="{10446568-C5AA-4E1F-BADE-594B4263B792}"/>
    <cellStyle name="Įprastas 5 3 3 4 3 2 2 2" xfId="6480" xr:uid="{58787456-84F9-4033-9BDE-4A079865787B}"/>
    <cellStyle name="Įprastas 5 3 3 4 3 2 2 3" xfId="8208" xr:uid="{F49E862C-A705-4982-ABF7-DF39728F5C60}"/>
    <cellStyle name="Įprastas 5 3 3 4 3 2 2 4" xfId="4752" xr:uid="{E115CFCA-8385-442C-83FA-54A7DB063B22}"/>
    <cellStyle name="Įprastas 5 3 3 4 3 2 2_8 priedas" xfId="9584" xr:uid="{156D6F2A-2FA0-4C92-8D63-93D3A1EB307E}"/>
    <cellStyle name="Įprastas 5 3 3 4 3 2 3" xfId="3023" xr:uid="{FFE219EA-CDF6-471D-82F8-29EDCFDCA1B2}"/>
    <cellStyle name="Įprastas 5 3 3 4 3 2 3 2" xfId="5616" xr:uid="{5E810157-AD9C-4432-A461-28F31A64D4A7}"/>
    <cellStyle name="Įprastas 5 3 3 4 3 2 3_8 priedas" xfId="9585" xr:uid="{BC63294E-F218-4359-BA3F-BE3CE82D9E15}"/>
    <cellStyle name="Įprastas 5 3 3 4 3 2 4" xfId="7344" xr:uid="{998FF590-8B4C-4F52-A44B-A80A40995145}"/>
    <cellStyle name="Įprastas 5 3 3 4 3 2 5" xfId="3888" xr:uid="{7ABCF222-D228-44B0-8D3B-9DE33A52F51A}"/>
    <cellStyle name="Įprastas 5 3 3 4 3 2_8 priedas" xfId="9583" xr:uid="{05F63C39-C97C-4C0A-9F0F-A4640B886297}"/>
    <cellStyle name="Įprastas 5 3 3 4 3 3" xfId="1865" xr:uid="{03CFBCD8-1A27-4DBF-8C20-DBD7F5B8563B}"/>
    <cellStyle name="Įprastas 5 3 3 4 3 3 2" xfId="5922" xr:uid="{1AFD336F-A9F6-4030-B8C2-96E0B48A0693}"/>
    <cellStyle name="Įprastas 5 3 3 4 3 3 3" xfId="7650" xr:uid="{56C780B1-146B-4966-9165-BD9FD6FFC940}"/>
    <cellStyle name="Įprastas 5 3 3 4 3 3 4" xfId="4194" xr:uid="{77CE6869-B1DF-4FEE-B6D1-97C63596B74B}"/>
    <cellStyle name="Įprastas 5 3 3 4 3 3_8 priedas" xfId="9586" xr:uid="{E127DB3C-076F-46D4-9E09-FA745D39501D}"/>
    <cellStyle name="Įprastas 5 3 3 4 3 4" xfId="2465" xr:uid="{38A0E027-2FEA-413C-9491-55A0AF3B497F}"/>
    <cellStyle name="Įprastas 5 3 3 4 3 4 2" xfId="5058" xr:uid="{53D20251-1028-4E25-B2A2-328DAD0E0296}"/>
    <cellStyle name="Įprastas 5 3 3 4 3 4_8 priedas" xfId="9587" xr:uid="{33DF234C-6464-4893-B218-E28510CDC066}"/>
    <cellStyle name="Įprastas 5 3 3 4 3 5" xfId="6786" xr:uid="{79B1DE14-FF81-441D-84AA-61A2E5F4CF46}"/>
    <cellStyle name="Įprastas 5 3 3 4 3 6" xfId="3330" xr:uid="{55FAA2A1-59D6-4F4C-A7BA-21454B582A5A}"/>
    <cellStyle name="Įprastas 5 3 3 4 3_8 priedas" xfId="1150" xr:uid="{00000000-0005-0000-0000-000033030000}"/>
    <cellStyle name="Įprastas 5 3 3 4 4" xfId="587" xr:uid="{00000000-0005-0000-0000-000034030000}"/>
    <cellStyle name="Įprastas 5 3 3 4 4 2" xfId="1866" xr:uid="{2AEEED0F-217B-46D6-ACC9-C6DECFECE0FB}"/>
    <cellStyle name="Įprastas 5 3 3 4 4 2 2" xfId="6192" xr:uid="{CC16F610-4617-4C01-B608-9F84B04C13D2}"/>
    <cellStyle name="Įprastas 5 3 3 4 4 2 3" xfId="7920" xr:uid="{B7B54659-D025-4E79-A584-B48214ACEA4A}"/>
    <cellStyle name="Įprastas 5 3 3 4 4 2 4" xfId="4464" xr:uid="{D406460F-077E-45E1-BAFC-55881336D6FB}"/>
    <cellStyle name="Įprastas 5 3 3 4 4 2_8 priedas" xfId="9589" xr:uid="{B2C11C63-65DF-48F8-ACDD-1284F1C5891D}"/>
    <cellStyle name="Įprastas 5 3 3 4 4 3" xfId="2735" xr:uid="{C5412258-894A-45B7-B219-FBFFB9B118BB}"/>
    <cellStyle name="Įprastas 5 3 3 4 4 3 2" xfId="5328" xr:uid="{58815253-6DA0-4A62-9249-F1B2199BF86A}"/>
    <cellStyle name="Įprastas 5 3 3 4 4 3_8 priedas" xfId="9590" xr:uid="{A4D3B1B5-33DB-43AA-9E38-406A8125C9D4}"/>
    <cellStyle name="Įprastas 5 3 3 4 4 4" xfId="7056" xr:uid="{B525AF54-665F-484B-AE1F-BAF0A8744B9B}"/>
    <cellStyle name="Įprastas 5 3 3 4 4 5" xfId="3600" xr:uid="{FAB88D34-EE3B-4134-92FD-73B66F5E0F62}"/>
    <cellStyle name="Įprastas 5 3 3 4 4_8 priedas" xfId="9588" xr:uid="{DECAB90E-2900-43BB-82B2-A233DA70CCA2}"/>
    <cellStyle name="Įprastas 5 3 3 4 5" xfId="1867" xr:uid="{7F9B4D25-28F1-412B-9654-B778462E303E}"/>
    <cellStyle name="Įprastas 5 3 3 4 5 2" xfId="5920" xr:uid="{6DA6730C-66AC-4572-B17A-D7435B4B43FE}"/>
    <cellStyle name="Įprastas 5 3 3 4 5 3" xfId="7648" xr:uid="{DE7D4C6F-4A5B-475C-AB0A-7DE9B6A0F237}"/>
    <cellStyle name="Įprastas 5 3 3 4 5 4" xfId="4192" xr:uid="{87194DB3-879F-4EAA-BE19-FD442D621604}"/>
    <cellStyle name="Įprastas 5 3 3 4 5_8 priedas" xfId="9591" xr:uid="{90DBF03F-0E7C-4E9E-9293-BECEAA8D5362}"/>
    <cellStyle name="Įprastas 5 3 3 4 6" xfId="2463" xr:uid="{1FF792A8-16BD-4742-A847-36816E667A72}"/>
    <cellStyle name="Įprastas 5 3 3 4 6 2" xfId="5056" xr:uid="{8F86E0D7-CBDB-4F55-8BDD-275990BBFED5}"/>
    <cellStyle name="Įprastas 5 3 3 4 6_8 priedas" xfId="9592" xr:uid="{79DF4680-88DD-4106-82F1-CBACF34A73F3}"/>
    <cellStyle name="Įprastas 5 3 3 4 7" xfId="6784" xr:uid="{8BD5663C-FDFB-4F2B-A254-30E004BDAE7D}"/>
    <cellStyle name="Įprastas 5 3 3 4 8" xfId="3328" xr:uid="{9775ED19-C451-4DD8-91A5-F8B37BD60FF5}"/>
    <cellStyle name="Įprastas 5 3 3 4_8 priedas" xfId="1062" xr:uid="{00000000-0005-0000-0000-000035030000}"/>
    <cellStyle name="Įprastas 5 3 3 5" xfId="301" xr:uid="{00000000-0005-0000-0000-000036030000}"/>
    <cellStyle name="Įprastas 5 3 3 5 2" xfId="635" xr:uid="{00000000-0005-0000-0000-000037030000}"/>
    <cellStyle name="Įprastas 5 3 3 5 2 2" xfId="1868" xr:uid="{0A498F03-7EA9-4BB0-9B87-0140944C3E40}"/>
    <cellStyle name="Įprastas 5 3 3 5 2 2 2" xfId="6240" xr:uid="{1124A1B4-1428-4253-8D29-ADF4523FABA8}"/>
    <cellStyle name="Įprastas 5 3 3 5 2 2 3" xfId="7968" xr:uid="{7BDE7675-84B8-467C-8ECB-A6B6337C3BBC}"/>
    <cellStyle name="Įprastas 5 3 3 5 2 2 4" xfId="4512" xr:uid="{27DF2941-348D-483E-B664-8714E86C3AF4}"/>
    <cellStyle name="Įprastas 5 3 3 5 2 2_8 priedas" xfId="9594" xr:uid="{38A4EF78-2466-4635-85AB-3C6544881018}"/>
    <cellStyle name="Įprastas 5 3 3 5 2 3" xfId="2783" xr:uid="{E270E751-1D6D-4E6C-831D-B073C51A805F}"/>
    <cellStyle name="Įprastas 5 3 3 5 2 3 2" xfId="5376" xr:uid="{984D448A-61B5-49DB-A719-1381D19CDCC6}"/>
    <cellStyle name="Įprastas 5 3 3 5 2 3_8 priedas" xfId="9595" xr:uid="{6A2D0099-7AA6-497F-AB08-E2D96690844B}"/>
    <cellStyle name="Įprastas 5 3 3 5 2 4" xfId="7104" xr:uid="{62E85EEC-D1B3-44B3-8369-E76219C791D5}"/>
    <cellStyle name="Įprastas 5 3 3 5 2 5" xfId="3648" xr:uid="{D96ED118-B93F-43CF-ADF5-D964A806EB4E}"/>
    <cellStyle name="Įprastas 5 3 3 5 2_8 priedas" xfId="9593" xr:uid="{F4F4646D-0999-49F7-A634-310EA1B82469}"/>
    <cellStyle name="Įprastas 5 3 3 5 3" xfId="1869" xr:uid="{B2E5F0F9-6FB2-466E-82A6-D869FEB418D3}"/>
    <cellStyle name="Įprastas 5 3 3 5 3 2" xfId="5923" xr:uid="{17EE399D-8279-4E22-913E-FBE4336DAF79}"/>
    <cellStyle name="Įprastas 5 3 3 5 3 3" xfId="7651" xr:uid="{149B9068-519C-4DA6-93F3-8B35B8671969}"/>
    <cellStyle name="Įprastas 5 3 3 5 3 4" xfId="4195" xr:uid="{11B44108-BA6A-46A7-9645-C77D1088DFB2}"/>
    <cellStyle name="Įprastas 5 3 3 5 3_8 priedas" xfId="9596" xr:uid="{6D70DB75-4850-49F2-A8A7-9A9D3A33DC3A}"/>
    <cellStyle name="Įprastas 5 3 3 5 4" xfId="2466" xr:uid="{53F8B2D7-283B-4E44-BC7F-29E7ECDE341E}"/>
    <cellStyle name="Įprastas 5 3 3 5 4 2" xfId="5059" xr:uid="{3DD6B4A3-5AEE-45A4-91E3-08173EA8391B}"/>
    <cellStyle name="Įprastas 5 3 3 5 4_8 priedas" xfId="9597" xr:uid="{282BAA70-4BF3-4013-98B4-33FA2B25C3FF}"/>
    <cellStyle name="Įprastas 5 3 3 5 5" xfId="6787" xr:uid="{E7E51F62-56A1-443A-982C-C771C87C8AED}"/>
    <cellStyle name="Įprastas 5 3 3 5 6" xfId="3331" xr:uid="{D7E2D758-8FF5-4F7D-9386-82FB80B48C27}"/>
    <cellStyle name="Įprastas 5 3 3 5_8 priedas" xfId="1015" xr:uid="{00000000-0005-0000-0000-000038030000}"/>
    <cellStyle name="Įprastas 5 3 3 6" xfId="302" xr:uid="{00000000-0005-0000-0000-000039030000}"/>
    <cellStyle name="Įprastas 5 3 3 6 2" xfId="779" xr:uid="{00000000-0005-0000-0000-00003A030000}"/>
    <cellStyle name="Įprastas 5 3 3 6 2 2" xfId="1870" xr:uid="{3BFA81DF-C0C0-4B59-A451-3AA3BB44626A}"/>
    <cellStyle name="Įprastas 5 3 3 6 2 2 2" xfId="6384" xr:uid="{BA74A9B0-D44F-44B6-96A8-B7EDC67B780B}"/>
    <cellStyle name="Įprastas 5 3 3 6 2 2 3" xfId="8112" xr:uid="{8B3EFD78-1EF9-4913-91F5-03BBAC078823}"/>
    <cellStyle name="Įprastas 5 3 3 6 2 2 4" xfId="4656" xr:uid="{928FCD20-5F1F-4FD8-A528-22B13225C44D}"/>
    <cellStyle name="Įprastas 5 3 3 6 2 2_8 priedas" xfId="9599" xr:uid="{3E792D0C-AC30-427C-AD51-B32D49532D9D}"/>
    <cellStyle name="Įprastas 5 3 3 6 2 3" xfId="2927" xr:uid="{B4A5D374-FBCB-4FB3-8D0A-49C5146B226C}"/>
    <cellStyle name="Įprastas 5 3 3 6 2 3 2" xfId="5520" xr:uid="{FDAA3031-2308-44EB-983A-CBB83766C79E}"/>
    <cellStyle name="Įprastas 5 3 3 6 2 3_8 priedas" xfId="9600" xr:uid="{4C9492B9-51BD-4706-BA66-360EEA0565F9}"/>
    <cellStyle name="Įprastas 5 3 3 6 2 4" xfId="7248" xr:uid="{C64223BB-D188-45C7-AE51-AA1B25BF499C}"/>
    <cellStyle name="Įprastas 5 3 3 6 2 5" xfId="3792" xr:uid="{C6002933-2084-4055-9F65-1969D24FCDAA}"/>
    <cellStyle name="Įprastas 5 3 3 6 2_8 priedas" xfId="9598" xr:uid="{95F02B71-B324-4B12-91AB-D152524F3D6F}"/>
    <cellStyle name="Įprastas 5 3 3 6 3" xfId="1871" xr:uid="{B27717E4-BDEA-4EC0-BF44-47EDBF1F179D}"/>
    <cellStyle name="Įprastas 5 3 3 6 3 2" xfId="5924" xr:uid="{17403B48-A391-435E-8458-16A24115B9D4}"/>
    <cellStyle name="Įprastas 5 3 3 6 3 3" xfId="7652" xr:uid="{E628B95A-8684-4064-A7E9-16FC6A9E97A5}"/>
    <cellStyle name="Įprastas 5 3 3 6 3 4" xfId="4196" xr:uid="{C883F66A-21A5-4355-AEE0-54D707D65576}"/>
    <cellStyle name="Įprastas 5 3 3 6 3_8 priedas" xfId="9601" xr:uid="{A99C56E1-0CD2-48B0-8854-0C09AE8CD549}"/>
    <cellStyle name="Įprastas 5 3 3 6 4" xfId="2467" xr:uid="{E3B61773-3264-48CE-9236-D9B3FF58220D}"/>
    <cellStyle name="Įprastas 5 3 3 6 4 2" xfId="5060" xr:uid="{D0DB221A-8EE9-4BC9-9B01-C0192AF1698B}"/>
    <cellStyle name="Įprastas 5 3 3 6 4_8 priedas" xfId="9602" xr:uid="{56930480-3251-4A1C-B96E-5263BD6B00F9}"/>
    <cellStyle name="Įprastas 5 3 3 6 5" xfId="6788" xr:uid="{714040AB-74EE-47E3-B1BB-E114FA019310}"/>
    <cellStyle name="Įprastas 5 3 3 6 6" xfId="3332" xr:uid="{3479DAA9-A6EB-4A04-8408-6117E585349C}"/>
    <cellStyle name="Įprastas 5 3 3 6_8 priedas" xfId="1240" xr:uid="{00000000-0005-0000-0000-00003B030000}"/>
    <cellStyle name="Įprastas 5 3 3 7" xfId="491" xr:uid="{00000000-0005-0000-0000-00003C030000}"/>
    <cellStyle name="Įprastas 5 3 3 7 2" xfId="1872" xr:uid="{301E3D86-C379-4F02-9AEE-4506D96DDA7D}"/>
    <cellStyle name="Įprastas 5 3 3 7 2 2" xfId="6096" xr:uid="{D88D6D45-6270-4959-AC97-690BBD766885}"/>
    <cellStyle name="Įprastas 5 3 3 7 2 3" xfId="7824" xr:uid="{E4E6585F-5090-4C34-9D88-86EA514A3726}"/>
    <cellStyle name="Įprastas 5 3 3 7 2 4" xfId="4368" xr:uid="{E83AA6FE-C8BD-49D2-B3F6-31CC7CDADB2B}"/>
    <cellStyle name="Įprastas 5 3 3 7 2_8 priedas" xfId="9604" xr:uid="{1094E853-3B16-4493-9111-9A43BDA486AE}"/>
    <cellStyle name="Įprastas 5 3 3 7 3" xfId="2639" xr:uid="{41BB3749-B684-412F-9A14-52108E6721D2}"/>
    <cellStyle name="Įprastas 5 3 3 7 3 2" xfId="5232" xr:uid="{32A99ADB-A421-4CA0-ADD8-7128BD9D26A5}"/>
    <cellStyle name="Įprastas 5 3 3 7 3_8 priedas" xfId="9605" xr:uid="{A7DE1717-B43D-4059-9C34-D76F8970259D}"/>
    <cellStyle name="Įprastas 5 3 3 7 4" xfId="6960" xr:uid="{EA44D29C-6CA2-499F-A6B7-E924AE1B4449}"/>
    <cellStyle name="Įprastas 5 3 3 7 5" xfId="3504" xr:uid="{80B9C2AE-2D80-476F-8B43-DE84F8B4D21B}"/>
    <cellStyle name="Įprastas 5 3 3 7_8 priedas" xfId="9603" xr:uid="{9B16B5CB-D174-42F1-89BC-FA3AFDC76775}"/>
    <cellStyle name="Įprastas 5 3 3 8" xfId="1873" xr:uid="{8F73D807-327C-4E36-8F41-46FAFB3E3F56}"/>
    <cellStyle name="Įprastas 5 3 3 8 2" xfId="5907" xr:uid="{CE1D7112-C3C2-44D3-B843-7C85DFB74DCC}"/>
    <cellStyle name="Įprastas 5 3 3 8 3" xfId="7635" xr:uid="{FA37B2FC-9561-4AC8-87A8-9453E0BF256E}"/>
    <cellStyle name="Įprastas 5 3 3 8 4" xfId="4179" xr:uid="{FF5A5834-B49A-4ADA-B4D0-181136A8AA20}"/>
    <cellStyle name="Įprastas 5 3 3 8_8 priedas" xfId="9606" xr:uid="{6EFADF52-2DE4-45B4-A5D1-431E7172A7E6}"/>
    <cellStyle name="Įprastas 5 3 3 9" xfId="2450" xr:uid="{965DD9E2-4BD3-4013-BA8F-482108951115}"/>
    <cellStyle name="Įprastas 5 3 3 9 2" xfId="5043" xr:uid="{140E1766-1F5D-41B5-B39C-A9E8658DC4F2}"/>
    <cellStyle name="Įprastas 5 3 3 9_8 priedas" xfId="9607" xr:uid="{82E7035E-8CF4-4FE1-AFE4-0447AC42CEB7}"/>
    <cellStyle name="Įprastas 5 3 3_8 priedas" xfId="980" xr:uid="{00000000-0005-0000-0000-00003D030000}"/>
    <cellStyle name="Įprastas 5 3 4" xfId="303" xr:uid="{00000000-0005-0000-0000-00003E030000}"/>
    <cellStyle name="Įprastas 5 3 4 10" xfId="3333" xr:uid="{09FB1E0B-98FD-400C-A831-0B533E11BC6C}"/>
    <cellStyle name="Įprastas 5 3 4 2" xfId="304" xr:uid="{00000000-0005-0000-0000-00003F030000}"/>
    <cellStyle name="Įprastas 5 3 4 2 2" xfId="305" xr:uid="{00000000-0005-0000-0000-000040030000}"/>
    <cellStyle name="Įprastas 5 3 4 2 2 2" xfId="695" xr:uid="{00000000-0005-0000-0000-000041030000}"/>
    <cellStyle name="Įprastas 5 3 4 2 2 2 2" xfId="1874" xr:uid="{85FE4D85-160E-4831-BECD-EEF9746AA95F}"/>
    <cellStyle name="Įprastas 5 3 4 2 2 2 2 2" xfId="6300" xr:uid="{C2AF6D25-2BB1-400D-9161-F0B839E5BF71}"/>
    <cellStyle name="Įprastas 5 3 4 2 2 2 2 3" xfId="8028" xr:uid="{51D333A2-9B59-4A10-8255-22CD75F2F636}"/>
    <cellStyle name="Įprastas 5 3 4 2 2 2 2 4" xfId="4572" xr:uid="{F8496C4A-F30B-4F58-9EAC-C99068DEA591}"/>
    <cellStyle name="Įprastas 5 3 4 2 2 2 2_8 priedas" xfId="9609" xr:uid="{B78DF6F3-9C98-456E-A8E3-B59F9A3E89E8}"/>
    <cellStyle name="Įprastas 5 3 4 2 2 2 3" xfId="2843" xr:uid="{76A7B503-380D-4C2F-92FB-D5FA3BF4EB9D}"/>
    <cellStyle name="Įprastas 5 3 4 2 2 2 3 2" xfId="5436" xr:uid="{509D8F5E-BE5D-48BA-B902-63045F7016BD}"/>
    <cellStyle name="Įprastas 5 3 4 2 2 2 3_8 priedas" xfId="9610" xr:uid="{0AB3869B-2BC9-44F2-B1BA-248756739D43}"/>
    <cellStyle name="Įprastas 5 3 4 2 2 2 4" xfId="7164" xr:uid="{686AED65-95F1-42E6-8CA8-A2F8703E4FA0}"/>
    <cellStyle name="Įprastas 5 3 4 2 2 2 5" xfId="3708" xr:uid="{21D8F99E-DD28-4796-9771-D0D896E969E4}"/>
    <cellStyle name="Įprastas 5 3 4 2 2 2_8 priedas" xfId="9608" xr:uid="{E04C4569-94F3-4D75-9975-8CAAE1D6B9A1}"/>
    <cellStyle name="Įprastas 5 3 4 2 2 3" xfId="1875" xr:uid="{68DF3455-3EB9-453F-BC06-21628FD25830}"/>
    <cellStyle name="Įprastas 5 3 4 2 2 3 2" xfId="5927" xr:uid="{BE19795E-AC8E-4D6F-9E19-BC66F66EC4ED}"/>
    <cellStyle name="Įprastas 5 3 4 2 2 3 3" xfId="7655" xr:uid="{2C0E29F9-EDDD-4FE7-ACA6-CDB5F3AEB833}"/>
    <cellStyle name="Įprastas 5 3 4 2 2 3 4" xfId="4199" xr:uid="{9BE41DAF-B7DE-4DFF-AFDD-A40CD52CBA1F}"/>
    <cellStyle name="Įprastas 5 3 4 2 2 3_8 priedas" xfId="9611" xr:uid="{F75720A6-11E0-4B9D-A734-034A7E04A137}"/>
    <cellStyle name="Įprastas 5 3 4 2 2 4" xfId="2470" xr:uid="{F56F6B6B-6DAD-4509-A895-B113BF2DB991}"/>
    <cellStyle name="Įprastas 5 3 4 2 2 4 2" xfId="5063" xr:uid="{E32F4CB4-C097-48B6-9394-054B05082FFA}"/>
    <cellStyle name="Įprastas 5 3 4 2 2 4_8 priedas" xfId="9612" xr:uid="{8D9622CF-2158-4AB2-94A1-7A68939C3734}"/>
    <cellStyle name="Įprastas 5 3 4 2 2 5" xfId="6791" xr:uid="{C9DF87CC-7163-4023-9C0A-F76101FC469E}"/>
    <cellStyle name="Įprastas 5 3 4 2 2 6" xfId="3335" xr:uid="{5108FFA3-B3B3-481F-9202-C0504F839F0C}"/>
    <cellStyle name="Įprastas 5 3 4 2 2_8 priedas" xfId="1220" xr:uid="{00000000-0005-0000-0000-000042030000}"/>
    <cellStyle name="Įprastas 5 3 4 2 3" xfId="306" xr:uid="{00000000-0005-0000-0000-000043030000}"/>
    <cellStyle name="Įprastas 5 3 4 2 3 2" xfId="839" xr:uid="{00000000-0005-0000-0000-000044030000}"/>
    <cellStyle name="Įprastas 5 3 4 2 3 2 2" xfId="1876" xr:uid="{0F8A2D25-2F79-4A31-B92E-F304AE47B957}"/>
    <cellStyle name="Įprastas 5 3 4 2 3 2 2 2" xfId="6444" xr:uid="{D45DF026-7460-4493-BD80-FB8F3478AE27}"/>
    <cellStyle name="Įprastas 5 3 4 2 3 2 2 3" xfId="8172" xr:uid="{92AECDCB-07B2-4CB9-8CDF-07F342963F1A}"/>
    <cellStyle name="Įprastas 5 3 4 2 3 2 2 4" xfId="4716" xr:uid="{5861DC24-BFEA-4C2F-A0BE-C7A14E5845FF}"/>
    <cellStyle name="Įprastas 5 3 4 2 3 2 2_8 priedas" xfId="9614" xr:uid="{3F7A3F9E-0EE6-4B2A-808F-63CB4D4685FB}"/>
    <cellStyle name="Įprastas 5 3 4 2 3 2 3" xfId="2987" xr:uid="{765CA326-E65D-4B71-B9B1-672CEACB9AF2}"/>
    <cellStyle name="Įprastas 5 3 4 2 3 2 3 2" xfId="5580" xr:uid="{895CE0BE-125F-4591-BA1C-5E224462E7CF}"/>
    <cellStyle name="Įprastas 5 3 4 2 3 2 3_8 priedas" xfId="9615" xr:uid="{2DCA4559-AF18-4D16-8A41-470CD35548D1}"/>
    <cellStyle name="Įprastas 5 3 4 2 3 2 4" xfId="7308" xr:uid="{FB9E18F4-AC90-497C-899D-F28BA07AF89B}"/>
    <cellStyle name="Įprastas 5 3 4 2 3 2 5" xfId="3852" xr:uid="{4FBB091B-C588-43AD-A3CA-6C3852F60C8C}"/>
    <cellStyle name="Įprastas 5 3 4 2 3 2_8 priedas" xfId="9613" xr:uid="{4BC44F69-B9B2-4EF0-AA40-60729D4A4125}"/>
    <cellStyle name="Įprastas 5 3 4 2 3 3" xfId="1877" xr:uid="{FDFBEE9A-D61D-4A15-9C21-FD49B77B93A2}"/>
    <cellStyle name="Įprastas 5 3 4 2 3 3 2" xfId="5928" xr:uid="{09B3CF76-6207-46C3-8083-6BFF026616FE}"/>
    <cellStyle name="Įprastas 5 3 4 2 3 3 3" xfId="7656" xr:uid="{3536925A-462B-4B7F-8B6F-C662B3263E7F}"/>
    <cellStyle name="Įprastas 5 3 4 2 3 3 4" xfId="4200" xr:uid="{65F92DEF-0D7D-46D7-982C-7311E957DBC5}"/>
    <cellStyle name="Įprastas 5 3 4 2 3 3_8 priedas" xfId="9616" xr:uid="{C16A675E-DC74-49F0-80D0-AAD78CFF85C0}"/>
    <cellStyle name="Įprastas 5 3 4 2 3 4" xfId="2471" xr:uid="{BDE1B8C1-53B5-4C7D-9C53-59AB8E7DBB52}"/>
    <cellStyle name="Įprastas 5 3 4 2 3 4 2" xfId="5064" xr:uid="{9A7EAF58-0DB5-4A49-83D2-144CF3FE0B0D}"/>
    <cellStyle name="Įprastas 5 3 4 2 3 4_8 priedas" xfId="9617" xr:uid="{324E054A-2213-4853-8D75-B0C4B8696162}"/>
    <cellStyle name="Įprastas 5 3 4 2 3 5" xfId="6792" xr:uid="{9EEF0643-E96A-435C-AAAB-69D2D4C4542A}"/>
    <cellStyle name="Įprastas 5 3 4 2 3 6" xfId="3336" xr:uid="{3E48076B-75A0-447D-8898-39CC3AE6955E}"/>
    <cellStyle name="Įprastas 5 3 4 2 3_8 priedas" xfId="1086" xr:uid="{00000000-0005-0000-0000-000045030000}"/>
    <cellStyle name="Įprastas 5 3 4 2 4" xfId="551" xr:uid="{00000000-0005-0000-0000-000046030000}"/>
    <cellStyle name="Įprastas 5 3 4 2 4 2" xfId="1878" xr:uid="{9F9BCB38-8695-4DE8-9738-D86CECA8D747}"/>
    <cellStyle name="Įprastas 5 3 4 2 4 2 2" xfId="6156" xr:uid="{3A29E390-16F5-4BBD-BA13-C93C46659593}"/>
    <cellStyle name="Įprastas 5 3 4 2 4 2 3" xfId="7884" xr:uid="{586BEABD-9F48-4577-BBC0-6D567B9907AB}"/>
    <cellStyle name="Įprastas 5 3 4 2 4 2 4" xfId="4428" xr:uid="{700D44A4-5081-4466-996B-75B037CAA1CD}"/>
    <cellStyle name="Įprastas 5 3 4 2 4 2_8 priedas" xfId="9619" xr:uid="{5799918B-C7F1-47D2-9706-910453B9BA44}"/>
    <cellStyle name="Įprastas 5 3 4 2 4 3" xfId="2699" xr:uid="{8FA53F44-ADD2-4B03-92BB-2C995673A493}"/>
    <cellStyle name="Įprastas 5 3 4 2 4 3 2" xfId="5292" xr:uid="{39B7F1C3-1C15-4C35-9CFA-1FAA06CF8D31}"/>
    <cellStyle name="Įprastas 5 3 4 2 4 3_8 priedas" xfId="9620" xr:uid="{566DA353-156B-4EF6-A0D8-E3E0683F1AEF}"/>
    <cellStyle name="Įprastas 5 3 4 2 4 4" xfId="7020" xr:uid="{31DF2DA9-4B57-42FC-A8B1-69A8A85065C0}"/>
    <cellStyle name="Įprastas 5 3 4 2 4 5" xfId="3564" xr:uid="{E3302AE5-8550-4A9C-8A8A-AC542E6EF724}"/>
    <cellStyle name="Įprastas 5 3 4 2 4_8 priedas" xfId="9618" xr:uid="{9643C7F8-95FA-4572-BD58-5DE6215ED26E}"/>
    <cellStyle name="Įprastas 5 3 4 2 5" xfId="1879" xr:uid="{E1567395-6228-47D5-8321-FDBD216699BD}"/>
    <cellStyle name="Įprastas 5 3 4 2 5 2" xfId="5926" xr:uid="{0D5099A6-9D7B-470A-8B49-34D36C1F30F2}"/>
    <cellStyle name="Įprastas 5 3 4 2 5 3" xfId="7654" xr:uid="{103D4A70-966F-4D7C-86FC-F493DA86ECC4}"/>
    <cellStyle name="Įprastas 5 3 4 2 5 4" xfId="4198" xr:uid="{E7DD2623-F590-4DB3-9C5E-3D425698E734}"/>
    <cellStyle name="Įprastas 5 3 4 2 5_8 priedas" xfId="9621" xr:uid="{761C3F18-A49A-4B54-B6C0-14388D690A73}"/>
    <cellStyle name="Įprastas 5 3 4 2 6" xfId="2469" xr:uid="{991C1D3A-AE94-4398-B047-07741A51A9D8}"/>
    <cellStyle name="Įprastas 5 3 4 2 6 2" xfId="5062" xr:uid="{47E73537-0202-4533-B510-47DDEBDCB5BE}"/>
    <cellStyle name="Įprastas 5 3 4 2 6_8 priedas" xfId="9622" xr:uid="{0A1C126C-62F5-421F-99BC-F59A57D90D7C}"/>
    <cellStyle name="Įprastas 5 3 4 2 7" xfId="6790" xr:uid="{BEB2F738-3390-444C-BAB6-02EA7E37E849}"/>
    <cellStyle name="Įprastas 5 3 4 2 8" xfId="3334" xr:uid="{A593B4FC-8880-46AF-BBEA-9E2AAC2AC912}"/>
    <cellStyle name="Įprastas 5 3 4 2_8 priedas" xfId="974" xr:uid="{00000000-0005-0000-0000-000047030000}"/>
    <cellStyle name="Įprastas 5 3 4 3" xfId="307" xr:uid="{00000000-0005-0000-0000-000048030000}"/>
    <cellStyle name="Įprastas 5 3 4 3 2" xfId="308" xr:uid="{00000000-0005-0000-0000-000049030000}"/>
    <cellStyle name="Įprastas 5 3 4 3 2 2" xfId="743" xr:uid="{00000000-0005-0000-0000-00004A030000}"/>
    <cellStyle name="Įprastas 5 3 4 3 2 2 2" xfId="1880" xr:uid="{65D37342-847A-4B69-B563-EC2EF7B14549}"/>
    <cellStyle name="Įprastas 5 3 4 3 2 2 2 2" xfId="6348" xr:uid="{2496EA8B-4C85-428F-BEF8-0849F0392DFB}"/>
    <cellStyle name="Įprastas 5 3 4 3 2 2 2 3" xfId="8076" xr:uid="{E1147F07-16D2-4962-9004-7CEEA5C10FF8}"/>
    <cellStyle name="Įprastas 5 3 4 3 2 2 2 4" xfId="4620" xr:uid="{6B9CF82A-DB93-41DC-B8D6-72FAA9B56760}"/>
    <cellStyle name="Įprastas 5 3 4 3 2 2 2_8 priedas" xfId="9624" xr:uid="{E11DD6BD-A066-453E-B9B2-25EA8764CDC1}"/>
    <cellStyle name="Įprastas 5 3 4 3 2 2 3" xfId="2891" xr:uid="{774141EB-51ED-4AC5-B29D-CCE26BA5C1CF}"/>
    <cellStyle name="Įprastas 5 3 4 3 2 2 3 2" xfId="5484" xr:uid="{1202203B-B12F-43DA-AC17-0A8239E95762}"/>
    <cellStyle name="Įprastas 5 3 4 3 2 2 3_8 priedas" xfId="9625" xr:uid="{7D35ED83-3C50-412B-9B86-CA8B0D49EDC2}"/>
    <cellStyle name="Įprastas 5 3 4 3 2 2 4" xfId="7212" xr:uid="{6B1827E7-C79B-4FB6-9528-C7479DFAA335}"/>
    <cellStyle name="Įprastas 5 3 4 3 2 2 5" xfId="3756" xr:uid="{550C5B99-203F-460A-9D5E-402253DDB997}"/>
    <cellStyle name="Įprastas 5 3 4 3 2 2_8 priedas" xfId="9623" xr:uid="{39BB5127-A850-4484-8E5D-1DF54069253A}"/>
    <cellStyle name="Įprastas 5 3 4 3 2 3" xfId="1881" xr:uid="{76B48FC6-3DBC-4E60-BFA4-C3F8CBB5C101}"/>
    <cellStyle name="Įprastas 5 3 4 3 2 3 2" xfId="5930" xr:uid="{AC066856-9792-491A-9549-7F3737EB675C}"/>
    <cellStyle name="Įprastas 5 3 4 3 2 3 3" xfId="7658" xr:uid="{A5AAF850-97ED-4E33-85BE-81C293B7E27E}"/>
    <cellStyle name="Įprastas 5 3 4 3 2 3 4" xfId="4202" xr:uid="{210CA3C6-3870-42ED-9D8A-301ACFB4BFCF}"/>
    <cellStyle name="Įprastas 5 3 4 3 2 3_8 priedas" xfId="9626" xr:uid="{F432FCFA-3989-40F2-BBB4-D735F843F3A5}"/>
    <cellStyle name="Įprastas 5 3 4 3 2 4" xfId="2473" xr:uid="{C4868565-D90C-48D3-B46D-0BB5C88F8927}"/>
    <cellStyle name="Įprastas 5 3 4 3 2 4 2" xfId="5066" xr:uid="{BF51C1DD-AFAE-46FC-8D48-8D5CC76253AB}"/>
    <cellStyle name="Įprastas 5 3 4 3 2 4_8 priedas" xfId="9627" xr:uid="{62A86961-5475-4919-9A2E-5B3A9C386285}"/>
    <cellStyle name="Įprastas 5 3 4 3 2 5" xfId="6794" xr:uid="{CA855078-1823-4312-BF8A-3EFA382B6248}"/>
    <cellStyle name="Įprastas 5 3 4 3 2 6" xfId="3338" xr:uid="{D89446BC-7927-45B1-8AA6-A5B5567F28A8}"/>
    <cellStyle name="Įprastas 5 3 4 3 2_8 priedas" xfId="1174" xr:uid="{00000000-0005-0000-0000-00004B030000}"/>
    <cellStyle name="Įprastas 5 3 4 3 3" xfId="309" xr:uid="{00000000-0005-0000-0000-00004C030000}"/>
    <cellStyle name="Įprastas 5 3 4 3 3 2" xfId="887" xr:uid="{00000000-0005-0000-0000-00004D030000}"/>
    <cellStyle name="Įprastas 5 3 4 3 3 2 2" xfId="1882" xr:uid="{1E3F64F0-D1BE-4999-8513-BB31FD5DA95F}"/>
    <cellStyle name="Įprastas 5 3 4 3 3 2 2 2" xfId="6492" xr:uid="{FD34FFC7-E556-4AD9-BFF1-D7977BD7DDC3}"/>
    <cellStyle name="Įprastas 5 3 4 3 3 2 2 3" xfId="8220" xr:uid="{CCE40C4C-D970-4623-B525-57D80CA3C6C7}"/>
    <cellStyle name="Įprastas 5 3 4 3 3 2 2 4" xfId="4764" xr:uid="{3B76EB96-93E6-41E2-90C5-F811C358262A}"/>
    <cellStyle name="Įprastas 5 3 4 3 3 2 2_8 priedas" xfId="9629" xr:uid="{2B4CA6FC-D838-47B7-B3BA-35324A1C8D81}"/>
    <cellStyle name="Įprastas 5 3 4 3 3 2 3" xfId="3035" xr:uid="{2AE0F134-2F73-42A2-B4D8-9E37056B97C2}"/>
    <cellStyle name="Įprastas 5 3 4 3 3 2 3 2" xfId="5628" xr:uid="{72E9E228-2887-4C51-9425-CA7DAD39916C}"/>
    <cellStyle name="Įprastas 5 3 4 3 3 2 3_8 priedas" xfId="9630" xr:uid="{35E69EEA-3D11-455A-8327-32659803A2B1}"/>
    <cellStyle name="Įprastas 5 3 4 3 3 2 4" xfId="7356" xr:uid="{54D3D49F-5CF4-43AB-B419-8F9167266D19}"/>
    <cellStyle name="Įprastas 5 3 4 3 3 2 5" xfId="3900" xr:uid="{F13515CA-2EF3-4D40-AE0C-65632868870D}"/>
    <cellStyle name="Įprastas 5 3 4 3 3 2_8 priedas" xfId="9628" xr:uid="{C63168E3-C749-42E1-8BB7-58B0BFC3E5B1}"/>
    <cellStyle name="Įprastas 5 3 4 3 3 3" xfId="1883" xr:uid="{A92B7AD4-FA3A-4721-A647-9B21F43A2891}"/>
    <cellStyle name="Įprastas 5 3 4 3 3 3 2" xfId="5931" xr:uid="{10DBE5F5-AD01-4D7F-AC0C-4B8CD4E896B9}"/>
    <cellStyle name="Įprastas 5 3 4 3 3 3 3" xfId="7659" xr:uid="{A8FC295E-BADE-41DA-806C-7954E5A6AC9D}"/>
    <cellStyle name="Įprastas 5 3 4 3 3 3 4" xfId="4203" xr:uid="{DBC3A5D4-72CC-4091-88A9-C9D42ADF7CB8}"/>
    <cellStyle name="Įprastas 5 3 4 3 3 3_8 priedas" xfId="9631" xr:uid="{F901961D-15ED-4ECF-A013-D4745C457ACC}"/>
    <cellStyle name="Įprastas 5 3 4 3 3 4" xfId="2474" xr:uid="{FD333B58-A381-4E36-89EE-6565D3DFEAC0}"/>
    <cellStyle name="Įprastas 5 3 4 3 3 4 2" xfId="5067" xr:uid="{D9F5F0AA-8610-4F77-9D65-BF04BC33B611}"/>
    <cellStyle name="Įprastas 5 3 4 3 3 4_8 priedas" xfId="9632" xr:uid="{C5C5F6CF-CF05-4602-9BEA-F8176E983F34}"/>
    <cellStyle name="Įprastas 5 3 4 3 3 5" xfId="6795" xr:uid="{34A40931-0BDF-4B20-AC66-6157488113AD}"/>
    <cellStyle name="Įprastas 5 3 4 3 3 6" xfId="3339" xr:uid="{D4E11382-05E6-4DA6-846B-BFC5DE7EEAA7}"/>
    <cellStyle name="Įprastas 5 3 4 3 3_8 priedas" xfId="1038" xr:uid="{00000000-0005-0000-0000-00004E030000}"/>
    <cellStyle name="Įprastas 5 3 4 3 4" xfId="599" xr:uid="{00000000-0005-0000-0000-00004F030000}"/>
    <cellStyle name="Įprastas 5 3 4 3 4 2" xfId="1884" xr:uid="{2667F236-BB6D-4251-8C66-95EF5E87A3C9}"/>
    <cellStyle name="Įprastas 5 3 4 3 4 2 2" xfId="6204" xr:uid="{C8117132-3325-4ACB-9932-C82BA34D263D}"/>
    <cellStyle name="Įprastas 5 3 4 3 4 2 3" xfId="7932" xr:uid="{FCAA0F75-ABB8-4268-BEFE-CE6C7244367C}"/>
    <cellStyle name="Įprastas 5 3 4 3 4 2 4" xfId="4476" xr:uid="{1696AC74-431D-4937-B548-9C19B75E3217}"/>
    <cellStyle name="Įprastas 5 3 4 3 4 2_8 priedas" xfId="9634" xr:uid="{0A368E56-C633-4749-B90F-7C95710520CB}"/>
    <cellStyle name="Įprastas 5 3 4 3 4 3" xfId="2747" xr:uid="{694EB945-7B17-415F-A486-0C311AE3594B}"/>
    <cellStyle name="Įprastas 5 3 4 3 4 3 2" xfId="5340" xr:uid="{D01FFBC0-9D70-42A2-A232-3A912D7B7F37}"/>
    <cellStyle name="Įprastas 5 3 4 3 4 3_8 priedas" xfId="9635" xr:uid="{3DE5C52C-8CEC-48CA-974B-846DC308C0D9}"/>
    <cellStyle name="Įprastas 5 3 4 3 4 4" xfId="7068" xr:uid="{17B530A5-0782-4C47-9623-1CE604A0F4F5}"/>
    <cellStyle name="Įprastas 5 3 4 3 4 5" xfId="3612" xr:uid="{D449767F-C4FD-4692-B8A0-F135F8026E93}"/>
    <cellStyle name="Įprastas 5 3 4 3 4_8 priedas" xfId="9633" xr:uid="{DA2C9BF0-1DB9-4028-BCF8-15161886738E}"/>
    <cellStyle name="Įprastas 5 3 4 3 5" xfId="1885" xr:uid="{9267A7E0-3490-48F8-9F52-DD03513286E9}"/>
    <cellStyle name="Įprastas 5 3 4 3 5 2" xfId="5929" xr:uid="{146AAEEC-4C55-446D-93DD-36368B1D9183}"/>
    <cellStyle name="Įprastas 5 3 4 3 5 3" xfId="7657" xr:uid="{B45C5DD7-7D89-4826-AEFE-279B21C7FECC}"/>
    <cellStyle name="Įprastas 5 3 4 3 5 4" xfId="4201" xr:uid="{398B7036-A2C8-427B-8860-ADA4611CA0C0}"/>
    <cellStyle name="Įprastas 5 3 4 3 5_8 priedas" xfId="9636" xr:uid="{613D4E03-8FC3-4E28-8D66-993AE05273D9}"/>
    <cellStyle name="Įprastas 5 3 4 3 6" xfId="2472" xr:uid="{93BA6146-8FAD-4E60-AAC8-D243E2F1C14D}"/>
    <cellStyle name="Įprastas 5 3 4 3 6 2" xfId="5065" xr:uid="{CF659914-124A-45C8-AF74-4529705AEDD5}"/>
    <cellStyle name="Įprastas 5 3 4 3 6_8 priedas" xfId="9637" xr:uid="{B8426C49-C074-4CD2-83B2-21E5B11F5E4C}"/>
    <cellStyle name="Įprastas 5 3 4 3 7" xfId="6793" xr:uid="{5F8AD1C3-62CC-427B-9761-B6DA003A5765}"/>
    <cellStyle name="Įprastas 5 3 4 3 8" xfId="3337" xr:uid="{CA53DD41-D0BE-4A85-9FCE-51ABC1C71181}"/>
    <cellStyle name="Įprastas 5 3 4 3_8 priedas" xfId="1311" xr:uid="{00000000-0005-0000-0000-000050030000}"/>
    <cellStyle name="Įprastas 5 3 4 4" xfId="310" xr:uid="{00000000-0005-0000-0000-000051030000}"/>
    <cellStyle name="Įprastas 5 3 4 4 2" xfId="647" xr:uid="{00000000-0005-0000-0000-000052030000}"/>
    <cellStyle name="Įprastas 5 3 4 4 2 2" xfId="1886" xr:uid="{0A516FFD-D796-4D8E-941B-44923A90A92E}"/>
    <cellStyle name="Įprastas 5 3 4 4 2 2 2" xfId="6252" xr:uid="{3176AD46-0076-42E2-BA0E-64E77F4ACFBB}"/>
    <cellStyle name="Įprastas 5 3 4 4 2 2 3" xfId="7980" xr:uid="{FA22EFFB-093D-4699-B0FA-E67514F7D5AF}"/>
    <cellStyle name="Įprastas 5 3 4 4 2 2 4" xfId="4524" xr:uid="{C7051C5F-3CD7-44A7-9800-B76D606EFBC2}"/>
    <cellStyle name="Įprastas 5 3 4 4 2 2_8 priedas" xfId="9639" xr:uid="{A4A17BDC-E6D2-4D5B-B5D1-E4CF4A405E17}"/>
    <cellStyle name="Įprastas 5 3 4 4 2 3" xfId="2795" xr:uid="{2E90C86E-541D-47BF-8652-AC5428212B6F}"/>
    <cellStyle name="Įprastas 5 3 4 4 2 3 2" xfId="5388" xr:uid="{8F491CDE-B6CD-4357-8FCF-32E608F0810B}"/>
    <cellStyle name="Įprastas 5 3 4 4 2 3_8 priedas" xfId="9640" xr:uid="{C44C41D1-0CA4-4E20-9D0E-C8FF6CBD5E8A}"/>
    <cellStyle name="Įprastas 5 3 4 4 2 4" xfId="7116" xr:uid="{256DEA72-815A-4EC1-BF0B-82B9438236E8}"/>
    <cellStyle name="Įprastas 5 3 4 4 2 5" xfId="3660" xr:uid="{72E94993-F677-44DE-8F66-0CE64C5D39E0}"/>
    <cellStyle name="Įprastas 5 3 4 4 2_8 priedas" xfId="9638" xr:uid="{E713CF1A-1564-452D-AA8A-D421D96C35CE}"/>
    <cellStyle name="Įprastas 5 3 4 4 3" xfId="1887" xr:uid="{2B04C9E8-B4C5-4618-8C98-825EE46B2FA8}"/>
    <cellStyle name="Įprastas 5 3 4 4 3 2" xfId="5932" xr:uid="{9BC2FB4C-013B-409D-94AD-8A0357D520CC}"/>
    <cellStyle name="Įprastas 5 3 4 4 3 3" xfId="7660" xr:uid="{1D32B21B-8741-4048-B4FF-68B25E098A4C}"/>
    <cellStyle name="Įprastas 5 3 4 4 3 4" xfId="4204" xr:uid="{E981C4C7-AA02-4D6C-97B0-E7DE5575B605}"/>
    <cellStyle name="Įprastas 5 3 4 4 3_8 priedas" xfId="9641" xr:uid="{CB3F2C98-22CF-4F24-8398-1A2EB2F71C76}"/>
    <cellStyle name="Įprastas 5 3 4 4 4" xfId="2475" xr:uid="{D0F821F6-9B78-4FDF-A00B-B9690E735E9F}"/>
    <cellStyle name="Įprastas 5 3 4 4 4 2" xfId="5068" xr:uid="{AD0BB0A4-DDF0-4F06-89EF-B979A7D9865F}"/>
    <cellStyle name="Įprastas 5 3 4 4 4_8 priedas" xfId="9642" xr:uid="{C3F4A092-A734-4922-A1D9-7EDADD0A427C}"/>
    <cellStyle name="Įprastas 5 3 4 4 5" xfId="6796" xr:uid="{8FA43458-8F8E-49D9-A5AC-C8C743904F09}"/>
    <cellStyle name="Įprastas 5 3 4 4 6" xfId="3340" xr:uid="{0F522640-DDC0-4D56-9DE0-672F7FECB898}"/>
    <cellStyle name="Įprastas 5 3 4 4_8 priedas" xfId="1262" xr:uid="{00000000-0005-0000-0000-000053030000}"/>
    <cellStyle name="Įprastas 5 3 4 5" xfId="311" xr:uid="{00000000-0005-0000-0000-000054030000}"/>
    <cellStyle name="Įprastas 5 3 4 5 2" xfId="791" xr:uid="{00000000-0005-0000-0000-000055030000}"/>
    <cellStyle name="Įprastas 5 3 4 5 2 2" xfId="1888" xr:uid="{FFAD9A62-004B-4359-B67B-E149A604A480}"/>
    <cellStyle name="Įprastas 5 3 4 5 2 2 2" xfId="6396" xr:uid="{B385ECF0-1888-418B-8A8C-D60F8F00C81A}"/>
    <cellStyle name="Įprastas 5 3 4 5 2 2 3" xfId="8124" xr:uid="{CD765E9C-1C03-4EC5-B91F-F76565CE13DD}"/>
    <cellStyle name="Įprastas 5 3 4 5 2 2 4" xfId="4668" xr:uid="{4F57EF6A-F535-44F9-8B99-5F4670DEEA23}"/>
    <cellStyle name="Įprastas 5 3 4 5 2 2_8 priedas" xfId="9644" xr:uid="{8F9B8A23-C10A-4722-B406-DB80687A2ACE}"/>
    <cellStyle name="Įprastas 5 3 4 5 2 3" xfId="2939" xr:uid="{84910510-A8C5-4302-A036-EE084A73B9F7}"/>
    <cellStyle name="Įprastas 5 3 4 5 2 3 2" xfId="5532" xr:uid="{40145F9F-E1FE-4D21-9D24-EB197EFC24E4}"/>
    <cellStyle name="Įprastas 5 3 4 5 2 3_8 priedas" xfId="9645" xr:uid="{BD960E3E-4058-4200-AEFF-E03A38105B1D}"/>
    <cellStyle name="Įprastas 5 3 4 5 2 4" xfId="7260" xr:uid="{17FC7556-16DE-4435-9AAB-05AD4C37B4F3}"/>
    <cellStyle name="Įprastas 5 3 4 5 2 5" xfId="3804" xr:uid="{6EDD3EFA-0662-43FA-AA1B-4B42060973ED}"/>
    <cellStyle name="Įprastas 5 3 4 5 2_8 priedas" xfId="9643" xr:uid="{8660BA99-C009-4E9E-987A-38D993438299}"/>
    <cellStyle name="Įprastas 5 3 4 5 3" xfId="1889" xr:uid="{93DF438F-D148-4EFA-97CA-0A77C3F01072}"/>
    <cellStyle name="Įprastas 5 3 4 5 3 2" xfId="5933" xr:uid="{E4423096-94B5-4A83-A7EB-218593DBDA3C}"/>
    <cellStyle name="Įprastas 5 3 4 5 3 3" xfId="7661" xr:uid="{94CB1EBD-9B1E-4708-8E69-52E904B2926E}"/>
    <cellStyle name="Įprastas 5 3 4 5 3 4" xfId="4205" xr:uid="{2380EE9A-FD8B-4A85-85F0-70E131AA8F39}"/>
    <cellStyle name="Įprastas 5 3 4 5 3_8 priedas" xfId="9646" xr:uid="{AEA35EA9-B72F-430F-915A-BA216D1FB0B8}"/>
    <cellStyle name="Įprastas 5 3 4 5 4" xfId="2476" xr:uid="{D65DCC8F-2CD2-4D90-B453-254464DE2A6A}"/>
    <cellStyle name="Įprastas 5 3 4 5 4 2" xfId="5069" xr:uid="{6D33C26F-DB46-4608-962F-698C0C9958A2}"/>
    <cellStyle name="Įprastas 5 3 4 5 4_8 priedas" xfId="9647" xr:uid="{941C5D2A-2F1A-480E-9B26-77E84D89DDBA}"/>
    <cellStyle name="Įprastas 5 3 4 5 5" xfId="6797" xr:uid="{57EEF098-A489-4EDA-9D4E-EA1ED575982C}"/>
    <cellStyle name="Įprastas 5 3 4 5 6" xfId="3341" xr:uid="{494A5FF6-747A-4B68-A2EA-655196DABB5C}"/>
    <cellStyle name="Įprastas 5 3 4 5_8 priedas" xfId="1126" xr:uid="{00000000-0005-0000-0000-000056030000}"/>
    <cellStyle name="Įprastas 5 3 4 6" xfId="503" xr:uid="{00000000-0005-0000-0000-000057030000}"/>
    <cellStyle name="Įprastas 5 3 4 6 2" xfId="1890" xr:uid="{146FB969-6487-45F0-9B61-7DC9275D2D7A}"/>
    <cellStyle name="Įprastas 5 3 4 6 2 2" xfId="6108" xr:uid="{0C02122C-A682-4212-9D05-7BA38EE0B357}"/>
    <cellStyle name="Įprastas 5 3 4 6 2 3" xfId="7836" xr:uid="{0092A034-9D79-43C0-A6CD-ACAFD06BB0DD}"/>
    <cellStyle name="Įprastas 5 3 4 6 2 4" xfId="4380" xr:uid="{31ADB69D-6F09-49E8-9725-30703C9F6649}"/>
    <cellStyle name="Įprastas 5 3 4 6 2_8 priedas" xfId="9649" xr:uid="{9F811540-2983-452E-BF59-A8BA9F6435DD}"/>
    <cellStyle name="Įprastas 5 3 4 6 3" xfId="2651" xr:uid="{4D934460-D2AD-4CFA-8E4C-D944BC95C500}"/>
    <cellStyle name="Įprastas 5 3 4 6 3 2" xfId="5244" xr:uid="{B7AAF015-4770-4A5E-9086-A549235F8B35}"/>
    <cellStyle name="Įprastas 5 3 4 6 3_8 priedas" xfId="9650" xr:uid="{AB449449-EAB0-414B-8E8E-7B1F33310D76}"/>
    <cellStyle name="Įprastas 5 3 4 6 4" xfId="6972" xr:uid="{53C12334-85D4-4B06-8F03-6BFDAFAF76CE}"/>
    <cellStyle name="Įprastas 5 3 4 6 5" xfId="3516" xr:uid="{B87EBAC0-F195-4DE1-A614-5017FE4AAFD8}"/>
    <cellStyle name="Įprastas 5 3 4 6_8 priedas" xfId="9648" xr:uid="{91582ADB-8D5D-4F04-9E6F-2A755650171D}"/>
    <cellStyle name="Įprastas 5 3 4 7" xfId="1891" xr:uid="{66C8AE58-18BC-4625-990A-BDECF19DC85E}"/>
    <cellStyle name="Įprastas 5 3 4 7 2" xfId="5925" xr:uid="{60888CD0-8350-4FC2-AEE7-4CBA703448D3}"/>
    <cellStyle name="Įprastas 5 3 4 7 3" xfId="7653" xr:uid="{CD53BA69-216F-4296-A345-C73C57CB65EB}"/>
    <cellStyle name="Įprastas 5 3 4 7 4" xfId="4197" xr:uid="{73A5D100-7136-4984-BC53-8EF17205B2F1}"/>
    <cellStyle name="Įprastas 5 3 4 7_8 priedas" xfId="9651" xr:uid="{DD5ECE60-AA8B-4E80-899E-BBEE4EF3E420}"/>
    <cellStyle name="Įprastas 5 3 4 8" xfId="2468" xr:uid="{C7C78655-1E3A-43C4-99FD-DE6E3F656C8C}"/>
    <cellStyle name="Įprastas 5 3 4 8 2" xfId="5061" xr:uid="{01A645BB-D72D-404B-ABCC-76B7DD9FD2DD}"/>
    <cellStyle name="Įprastas 5 3 4 8_8 priedas" xfId="9652" xr:uid="{BE175847-A206-4D34-B186-352BAC94FAC8}"/>
    <cellStyle name="Įprastas 5 3 4 9" xfId="6789" xr:uid="{5E13E53E-862C-41A8-A09E-F50E192C0EEA}"/>
    <cellStyle name="Įprastas 5 3 4_8 priedas" xfId="1110" xr:uid="{00000000-0005-0000-0000-000058030000}"/>
    <cellStyle name="Įprastas 5 3 5" xfId="312" xr:uid="{00000000-0005-0000-0000-000059030000}"/>
    <cellStyle name="Įprastas 5 3 5 2" xfId="313" xr:uid="{00000000-0005-0000-0000-00005A030000}"/>
    <cellStyle name="Įprastas 5 3 5 2 2" xfId="671" xr:uid="{00000000-0005-0000-0000-00005B030000}"/>
    <cellStyle name="Įprastas 5 3 5 2 2 2" xfId="1892" xr:uid="{1C6FD780-ECAF-4AD9-BD96-BB22924F0CA2}"/>
    <cellStyle name="Įprastas 5 3 5 2 2 2 2" xfId="6276" xr:uid="{D9E6292D-33A8-4750-BA35-1CBBA5409CEB}"/>
    <cellStyle name="Įprastas 5 3 5 2 2 2 3" xfId="8004" xr:uid="{1454E6C2-093C-4BF5-B835-8D75D239561E}"/>
    <cellStyle name="Įprastas 5 3 5 2 2 2 4" xfId="4548" xr:uid="{562CC242-3219-417B-8B0E-A05F681E2553}"/>
    <cellStyle name="Įprastas 5 3 5 2 2 2_8 priedas" xfId="9654" xr:uid="{D2CB6A18-2BFB-4786-AA24-9F0B086DF290}"/>
    <cellStyle name="Įprastas 5 3 5 2 2 3" xfId="2819" xr:uid="{FFDB62C0-0BC1-4866-97F4-5F1E709FCBAF}"/>
    <cellStyle name="Įprastas 5 3 5 2 2 3 2" xfId="5412" xr:uid="{15FA703E-BE29-49FF-BE0D-4C5A3BE51E16}"/>
    <cellStyle name="Įprastas 5 3 5 2 2 3_8 priedas" xfId="9655" xr:uid="{D7AE7EC5-67CE-433E-91AC-5CF9B05EA084}"/>
    <cellStyle name="Įprastas 5 3 5 2 2 4" xfId="7140" xr:uid="{B7D4229F-AF3E-41C8-9AFE-61D509FF29A8}"/>
    <cellStyle name="Įprastas 5 3 5 2 2 5" xfId="3684" xr:uid="{1DA571BD-D87A-417F-A730-4EE3A55A27EF}"/>
    <cellStyle name="Įprastas 5 3 5 2 2_8 priedas" xfId="9653" xr:uid="{7FD1CA47-8B8C-42C0-8B04-7D00AC056732}"/>
    <cellStyle name="Įprastas 5 3 5 2 3" xfId="1893" xr:uid="{56FD5D35-99C9-4291-B9A3-F92742349C50}"/>
    <cellStyle name="Įprastas 5 3 5 2 3 2" xfId="5935" xr:uid="{EA6992CA-1BE8-40C3-9F52-2C5A13ED3981}"/>
    <cellStyle name="Įprastas 5 3 5 2 3 3" xfId="7663" xr:uid="{313ADC46-334E-4DBA-B8C8-D05098D43862}"/>
    <cellStyle name="Įprastas 5 3 5 2 3 4" xfId="4207" xr:uid="{411A4486-EFAB-4A67-8E39-4BD7922F07E3}"/>
    <cellStyle name="Įprastas 5 3 5 2 3_8 priedas" xfId="9656" xr:uid="{510504A7-2CF2-4EAF-B438-71B9F62C7440}"/>
    <cellStyle name="Įprastas 5 3 5 2 4" xfId="2478" xr:uid="{CB84BFFF-7CCB-48FE-BB89-BE26617A59EB}"/>
    <cellStyle name="Įprastas 5 3 5 2 4 2" xfId="5071" xr:uid="{7CB87945-F51C-4ED4-8F4C-277F40972BD7}"/>
    <cellStyle name="Įprastas 5 3 5 2 4_8 priedas" xfId="9657" xr:uid="{93FA1B1B-6ABD-4BC7-9962-9A452A0D905B}"/>
    <cellStyle name="Įprastas 5 3 5 2 5" xfId="6799" xr:uid="{79B79706-6894-42FF-9585-47226DCD46E9}"/>
    <cellStyle name="Įprastas 5 3 5 2 6" xfId="3343" xr:uid="{C0385F3F-4CD1-43E8-BF0D-D4E135B9BE81}"/>
    <cellStyle name="Įprastas 5 3 5 2_8 priedas" xfId="949" xr:uid="{00000000-0005-0000-0000-00005C030000}"/>
    <cellStyle name="Įprastas 5 3 5 3" xfId="314" xr:uid="{00000000-0005-0000-0000-00005D030000}"/>
    <cellStyle name="Įprastas 5 3 5 3 2" xfId="815" xr:uid="{00000000-0005-0000-0000-00005E030000}"/>
    <cellStyle name="Įprastas 5 3 5 3 2 2" xfId="1894" xr:uid="{3399FC3E-82A1-41B0-913D-F6463ED07575}"/>
    <cellStyle name="Įprastas 5 3 5 3 2 2 2" xfId="6420" xr:uid="{9163FCB1-DF2A-42F2-A98F-A66857FA78E4}"/>
    <cellStyle name="Įprastas 5 3 5 3 2 2 3" xfId="8148" xr:uid="{B8774A1B-59E6-4D42-9C93-5953F38F20F8}"/>
    <cellStyle name="Įprastas 5 3 5 3 2 2 4" xfId="4692" xr:uid="{56BD0AD8-17CF-4C86-A6CC-B0DDDD33E704}"/>
    <cellStyle name="Įprastas 5 3 5 3 2 2_8 priedas" xfId="9659" xr:uid="{C64F3A91-DC0D-43CE-AB08-DE9FA6371C6A}"/>
    <cellStyle name="Įprastas 5 3 5 3 2 3" xfId="2963" xr:uid="{AA425A71-C3BB-4650-889C-C2996BAA0DD7}"/>
    <cellStyle name="Įprastas 5 3 5 3 2 3 2" xfId="5556" xr:uid="{411EB67E-C718-4B60-925A-0BA1E1B92697}"/>
    <cellStyle name="Įprastas 5 3 5 3 2 3_8 priedas" xfId="9660" xr:uid="{A315F954-3203-419A-AAC6-05D98EF564EE}"/>
    <cellStyle name="Įprastas 5 3 5 3 2 4" xfId="7284" xr:uid="{54000028-202D-46C6-9A89-1DD7BCA75A11}"/>
    <cellStyle name="Įprastas 5 3 5 3 2 5" xfId="3828" xr:uid="{59BE7D7E-5A96-45F6-B0DD-C6CA9FC935D8}"/>
    <cellStyle name="Įprastas 5 3 5 3 2_8 priedas" xfId="9658" xr:uid="{8027BEED-D5C4-49A5-BB70-50045EF3698C}"/>
    <cellStyle name="Įprastas 5 3 5 3 3" xfId="1895" xr:uid="{B9E69569-EFC7-4129-9078-0EDBE6170201}"/>
    <cellStyle name="Įprastas 5 3 5 3 3 2" xfId="5936" xr:uid="{547DFD8D-9F1D-45DA-A3C4-ED3DCC0E7A38}"/>
    <cellStyle name="Įprastas 5 3 5 3 3 3" xfId="7664" xr:uid="{339D939F-1223-419A-9251-E44DD941C874}"/>
    <cellStyle name="Įprastas 5 3 5 3 3 4" xfId="4208" xr:uid="{490D5E95-7DF9-4904-BAE4-0559D93F1B3B}"/>
    <cellStyle name="Įprastas 5 3 5 3 3_8 priedas" xfId="9661" xr:uid="{100E01E7-6593-4949-A257-F61963391120}"/>
    <cellStyle name="Įprastas 5 3 5 3 4" xfId="2479" xr:uid="{901368C4-FF10-40FC-BCD5-096C4C3BED2A}"/>
    <cellStyle name="Įprastas 5 3 5 3 4 2" xfId="5072" xr:uid="{0602EE6D-C0BB-4881-9719-1F83F6A8E8D5}"/>
    <cellStyle name="Įprastas 5 3 5 3 4_8 priedas" xfId="9662" xr:uid="{05A06DD9-180F-4E62-86C3-29BE3C2EAE20}"/>
    <cellStyle name="Įprastas 5 3 5 3 5" xfId="6800" xr:uid="{AD4A8B51-6F08-43AC-812A-F5B1DA4F9CA2}"/>
    <cellStyle name="Įprastas 5 3 5 3 6" xfId="3344" xr:uid="{59F972CB-24C4-4AAA-83C3-AF2DB4AF65E3}"/>
    <cellStyle name="Įprastas 5 3 5 3_8 priedas" xfId="1208" xr:uid="{00000000-0005-0000-0000-00005F030000}"/>
    <cellStyle name="Įprastas 5 3 5 4" xfId="527" xr:uid="{00000000-0005-0000-0000-000060030000}"/>
    <cellStyle name="Įprastas 5 3 5 4 2" xfId="1896" xr:uid="{9DB4DE1D-5258-4650-8B42-524C2DF9AEBE}"/>
    <cellStyle name="Įprastas 5 3 5 4 2 2" xfId="6132" xr:uid="{D454B49B-29BA-4CFF-9C54-B66C7A3BB35E}"/>
    <cellStyle name="Įprastas 5 3 5 4 2 3" xfId="7860" xr:uid="{9A0FC975-5FC9-4104-B720-6778A1242384}"/>
    <cellStyle name="Įprastas 5 3 5 4 2 4" xfId="4404" xr:uid="{9059C9B0-93D1-4EB9-9B91-F88C9DCADEE4}"/>
    <cellStyle name="Įprastas 5 3 5 4 2_8 priedas" xfId="9664" xr:uid="{6D2A341B-07DA-4837-A881-596646524551}"/>
    <cellStyle name="Įprastas 5 3 5 4 3" xfId="2675" xr:uid="{0A6EE6A2-2116-4FFB-B099-9A3232482A28}"/>
    <cellStyle name="Įprastas 5 3 5 4 3 2" xfId="5268" xr:uid="{D48BEDFD-92B0-45EF-8B42-BC7958BEA441}"/>
    <cellStyle name="Įprastas 5 3 5 4 3_8 priedas" xfId="9665" xr:uid="{A0D18EC3-9359-49E9-99C8-1E2F2A5F17F3}"/>
    <cellStyle name="Įprastas 5 3 5 4 4" xfId="6996" xr:uid="{B505F846-D8DC-4696-983D-00C37FC4C96E}"/>
    <cellStyle name="Įprastas 5 3 5 4 5" xfId="3540" xr:uid="{862699C7-1C22-4491-8776-43F52C714DC0}"/>
    <cellStyle name="Įprastas 5 3 5 4_8 priedas" xfId="9663" xr:uid="{0DC22D4D-5737-44F6-ADB9-7102F6F57E20}"/>
    <cellStyle name="Įprastas 5 3 5 5" xfId="1897" xr:uid="{9FC8FC19-66A0-47F2-ABBE-1E3FBAE4A775}"/>
    <cellStyle name="Įprastas 5 3 5 5 2" xfId="5934" xr:uid="{671DA57E-C69F-40C2-AB2E-56340F2F950E}"/>
    <cellStyle name="Įprastas 5 3 5 5 3" xfId="7662" xr:uid="{FC0AA507-1E38-4FEB-840B-A02652025602}"/>
    <cellStyle name="Įprastas 5 3 5 5 4" xfId="4206" xr:uid="{4A68B62C-9170-4C27-9F66-0073700CD6CF}"/>
    <cellStyle name="Įprastas 5 3 5 5_8 priedas" xfId="9666" xr:uid="{516AF554-5D05-48A0-ADAF-6D2758B59A50}"/>
    <cellStyle name="Įprastas 5 3 5 6" xfId="2477" xr:uid="{1EB08942-B51B-4D31-BDF9-FB6F5BDF5CB9}"/>
    <cellStyle name="Įprastas 5 3 5 6 2" xfId="5070" xr:uid="{B1BFA0B6-8262-4AA8-8CC0-9DB185AA4E4F}"/>
    <cellStyle name="Įprastas 5 3 5 6_8 priedas" xfId="9667" xr:uid="{1352FD7B-082D-4A3A-8702-7F3DA1C76643}"/>
    <cellStyle name="Įprastas 5 3 5 7" xfId="6798" xr:uid="{85EBB922-C846-4E0B-87A7-480C3FDF9398}"/>
    <cellStyle name="Įprastas 5 3 5 8" xfId="3342" xr:uid="{3666879A-F9F5-4915-8D87-CE55EF9E99CC}"/>
    <cellStyle name="Įprastas 5 3 5_8 priedas" xfId="990" xr:uid="{00000000-0005-0000-0000-000061030000}"/>
    <cellStyle name="Įprastas 5 3 6" xfId="315" xr:uid="{00000000-0005-0000-0000-000062030000}"/>
    <cellStyle name="Įprastas 5 3 6 2" xfId="316" xr:uid="{00000000-0005-0000-0000-000063030000}"/>
    <cellStyle name="Įprastas 5 3 6 2 2" xfId="719" xr:uid="{00000000-0005-0000-0000-000064030000}"/>
    <cellStyle name="Įprastas 5 3 6 2 2 2" xfId="1898" xr:uid="{DDBC3BC2-1A7D-497F-8BE0-5A75B3D4A314}"/>
    <cellStyle name="Įprastas 5 3 6 2 2 2 2" xfId="6324" xr:uid="{FCC2D176-2FA5-4957-9D8E-DF25B3053BB5}"/>
    <cellStyle name="Įprastas 5 3 6 2 2 2 3" xfId="8052" xr:uid="{0AE305AE-69D7-4CD5-9158-A686EF6D3775}"/>
    <cellStyle name="Įprastas 5 3 6 2 2 2 4" xfId="4596" xr:uid="{0B11C277-6F97-4097-9A7E-CC5BE195D613}"/>
    <cellStyle name="Įprastas 5 3 6 2 2 2_8 priedas" xfId="9669" xr:uid="{8D8D0D5C-A9A3-42C2-AFEF-71CD3EC1FB33}"/>
    <cellStyle name="Įprastas 5 3 6 2 2 3" xfId="2867" xr:uid="{425984A7-6034-46A5-BBCE-763DB5DB2DB6}"/>
    <cellStyle name="Įprastas 5 3 6 2 2 3 2" xfId="5460" xr:uid="{DB6265C4-ECCB-432D-8901-40F0DBB03DFC}"/>
    <cellStyle name="Įprastas 5 3 6 2 2 3_8 priedas" xfId="9670" xr:uid="{3D7B64ED-13F5-4640-8650-C9F80D34D59F}"/>
    <cellStyle name="Įprastas 5 3 6 2 2 4" xfId="7188" xr:uid="{780E6E0B-B973-49E8-8C95-C3D7A0CEFEC2}"/>
    <cellStyle name="Įprastas 5 3 6 2 2 5" xfId="3732" xr:uid="{1CA17D2E-6DC0-404F-B30A-24E25D0A264D}"/>
    <cellStyle name="Įprastas 5 3 6 2 2_8 priedas" xfId="9668" xr:uid="{A20EB18C-6345-4BD1-B350-03E1720F9DC9}"/>
    <cellStyle name="Įprastas 5 3 6 2 3" xfId="1899" xr:uid="{00E7FC64-6767-4758-8A15-74FDA3CC898F}"/>
    <cellStyle name="Įprastas 5 3 6 2 3 2" xfId="5938" xr:uid="{25DF0636-89B8-45E6-BB84-4EF24E97AE3F}"/>
    <cellStyle name="Įprastas 5 3 6 2 3 3" xfId="7666" xr:uid="{A702B66F-8DCC-480D-98B0-A622F8AB48D2}"/>
    <cellStyle name="Įprastas 5 3 6 2 3 4" xfId="4210" xr:uid="{5EFD6C8E-DC31-4FF3-AE68-70E443F46F6B}"/>
    <cellStyle name="Įprastas 5 3 6 2 3_8 priedas" xfId="9671" xr:uid="{3AB16886-B92C-4180-A14B-061B800B5717}"/>
    <cellStyle name="Įprastas 5 3 6 2 4" xfId="2481" xr:uid="{83BF19D8-8954-4FA2-8DF8-9066B8A0BA28}"/>
    <cellStyle name="Įprastas 5 3 6 2 4 2" xfId="5074" xr:uid="{C12921CE-D71F-4CFF-94DA-A3ADA9D95F2D}"/>
    <cellStyle name="Įprastas 5 3 6 2 4_8 priedas" xfId="9672" xr:uid="{37E3B33D-AFC1-46D3-830E-D10927400BDF}"/>
    <cellStyle name="Įprastas 5 3 6 2 5" xfId="6802" xr:uid="{5C86BDA7-68B3-47C7-B01D-7C7BF601A2E4}"/>
    <cellStyle name="Įprastas 5 3 6 2 6" xfId="3346" xr:uid="{5A0D8B65-D5B0-4700-8D39-26F6910CB6AD}"/>
    <cellStyle name="Įprastas 5 3 6 2_8 priedas" xfId="1299" xr:uid="{00000000-0005-0000-0000-000065030000}"/>
    <cellStyle name="Įprastas 5 3 6 3" xfId="317" xr:uid="{00000000-0005-0000-0000-000066030000}"/>
    <cellStyle name="Įprastas 5 3 6 3 2" xfId="863" xr:uid="{00000000-0005-0000-0000-000067030000}"/>
    <cellStyle name="Įprastas 5 3 6 3 2 2" xfId="1900" xr:uid="{E55432A7-B059-4EF3-80CB-BF13DBBC883F}"/>
    <cellStyle name="Įprastas 5 3 6 3 2 2 2" xfId="6468" xr:uid="{61E7FDD5-DB5D-4230-A1B5-F29D0E891EA1}"/>
    <cellStyle name="Įprastas 5 3 6 3 2 2 3" xfId="8196" xr:uid="{CA6FFF09-700A-48E8-B763-ED4CE57EAD9A}"/>
    <cellStyle name="Įprastas 5 3 6 3 2 2 4" xfId="4740" xr:uid="{FE5A4F31-6545-4D11-9B05-2C5BABC520D7}"/>
    <cellStyle name="Įprastas 5 3 6 3 2 2_8 priedas" xfId="9674" xr:uid="{12DCB8A3-A556-49F8-A129-0EA56C903929}"/>
    <cellStyle name="Įprastas 5 3 6 3 2 3" xfId="3011" xr:uid="{BC966504-0B35-43D3-A1EF-18E80D98206B}"/>
    <cellStyle name="Įprastas 5 3 6 3 2 3 2" xfId="5604" xr:uid="{5179C413-6479-4A35-918F-587C767C6ED0}"/>
    <cellStyle name="Įprastas 5 3 6 3 2 3_8 priedas" xfId="9675" xr:uid="{0DEB3444-1096-458C-BE29-1A3169EF7ECA}"/>
    <cellStyle name="Įprastas 5 3 6 3 2 4" xfId="7332" xr:uid="{63B6D633-D5A2-498D-BD7A-3B733321C6BC}"/>
    <cellStyle name="Įprastas 5 3 6 3 2 5" xfId="3876" xr:uid="{12C0E2DA-646D-4F2E-B5A4-E4D435857C8E}"/>
    <cellStyle name="Įprastas 5 3 6 3 2_8 priedas" xfId="9673" xr:uid="{129DAD31-0BFB-4CBD-A4C6-14830D0AD5DC}"/>
    <cellStyle name="Įprastas 5 3 6 3 3" xfId="1901" xr:uid="{BCA9ECD7-B40D-47F9-B9AD-F5435DFC8C1D}"/>
    <cellStyle name="Įprastas 5 3 6 3 3 2" xfId="5939" xr:uid="{E10BF9E6-7A50-45F7-9425-F571A30DFFF7}"/>
    <cellStyle name="Įprastas 5 3 6 3 3 3" xfId="7667" xr:uid="{34D12EA4-D509-458F-B93E-7E12E581A8AB}"/>
    <cellStyle name="Įprastas 5 3 6 3 3 4" xfId="4211" xr:uid="{339EA135-025A-4C38-AAE0-278D81575632}"/>
    <cellStyle name="Įprastas 5 3 6 3 3_8 priedas" xfId="9676" xr:uid="{B692CAEB-B8B8-49C9-B135-14B66D95EA6B}"/>
    <cellStyle name="Įprastas 5 3 6 3 4" xfId="2482" xr:uid="{3AEDA8BB-475B-473A-82D8-4ECF2EDF18A5}"/>
    <cellStyle name="Įprastas 5 3 6 3 4 2" xfId="5075" xr:uid="{E5F6DFF5-038C-41B9-A654-EC14A11B4BFE}"/>
    <cellStyle name="Įprastas 5 3 6 3 4_8 priedas" xfId="9677" xr:uid="{4511EE4C-0092-4AF3-9A3D-98529252DCBC}"/>
    <cellStyle name="Įprastas 5 3 6 3 5" xfId="6803" xr:uid="{B226B269-E722-4E56-9BF4-DD1BE1F6C9CE}"/>
    <cellStyle name="Įprastas 5 3 6 3 6" xfId="3347" xr:uid="{A14B98E7-21DD-4862-BB9D-AF2512062BF8}"/>
    <cellStyle name="Įprastas 5 3 6 3_8 priedas" xfId="1162" xr:uid="{00000000-0005-0000-0000-000068030000}"/>
    <cellStyle name="Įprastas 5 3 6 4" xfId="575" xr:uid="{00000000-0005-0000-0000-000069030000}"/>
    <cellStyle name="Įprastas 5 3 6 4 2" xfId="1902" xr:uid="{67A3B495-DC79-48D1-9CEB-592B58065498}"/>
    <cellStyle name="Įprastas 5 3 6 4 2 2" xfId="6180" xr:uid="{D02AF691-86D3-4045-88F6-951ACE09EAC1}"/>
    <cellStyle name="Įprastas 5 3 6 4 2 3" xfId="7908" xr:uid="{50AF3C02-59F0-4C46-AAF6-9DCD0C5C40D7}"/>
    <cellStyle name="Įprastas 5 3 6 4 2 4" xfId="4452" xr:uid="{2CF2D960-DCB4-4D39-A14A-3CDE0A53BD99}"/>
    <cellStyle name="Įprastas 5 3 6 4 2_8 priedas" xfId="9679" xr:uid="{AFC8EF4E-DBA9-4A6A-9DC0-BB25E96C50BD}"/>
    <cellStyle name="Įprastas 5 3 6 4 3" xfId="2723" xr:uid="{188264D8-AC6B-4C3F-B1E1-08AC386A4070}"/>
    <cellStyle name="Įprastas 5 3 6 4 3 2" xfId="5316" xr:uid="{7032AE8C-2D64-454E-8C75-5C6660F466D2}"/>
    <cellStyle name="Įprastas 5 3 6 4 3_8 priedas" xfId="9680" xr:uid="{1283C270-1DF6-41D5-9F32-93C5EC4D6D1E}"/>
    <cellStyle name="Įprastas 5 3 6 4 4" xfId="7044" xr:uid="{75304ED8-577B-4983-AE8F-2FF920AC633D}"/>
    <cellStyle name="Įprastas 5 3 6 4 5" xfId="3588" xr:uid="{A252FC3E-7AB1-4026-A074-2CA361D25E83}"/>
    <cellStyle name="Įprastas 5 3 6 4_8 priedas" xfId="9678" xr:uid="{55515128-F225-40BD-B017-5DF5E8DCF843}"/>
    <cellStyle name="Įprastas 5 3 6 5" xfId="1903" xr:uid="{6AE0117D-5FE2-4ABC-A501-33484DE7D2F6}"/>
    <cellStyle name="Įprastas 5 3 6 5 2" xfId="5937" xr:uid="{066FB3CB-F369-4366-AA45-93AC79F1F101}"/>
    <cellStyle name="Įprastas 5 3 6 5 3" xfId="7665" xr:uid="{DA6C8C9A-D995-455A-A5C9-8EC5C493F706}"/>
    <cellStyle name="Įprastas 5 3 6 5 4" xfId="4209" xr:uid="{F2F9BDC8-00F7-4A72-9B81-3B3071BCBD00}"/>
    <cellStyle name="Įprastas 5 3 6 5_8 priedas" xfId="9681" xr:uid="{D6808BBF-5204-40FF-8E49-2CC868817502}"/>
    <cellStyle name="Įprastas 5 3 6 6" xfId="2480" xr:uid="{DD65BC91-3256-47C2-9628-B05581137E5D}"/>
    <cellStyle name="Įprastas 5 3 6 6 2" xfId="5073" xr:uid="{A75A9361-F1E6-4E34-B830-7F3AAC4871C9}"/>
    <cellStyle name="Įprastas 5 3 6 6_8 priedas" xfId="9682" xr:uid="{3FFE9986-D246-4A18-BF8D-2F01E6226F89}"/>
    <cellStyle name="Įprastas 5 3 6 7" xfId="6801" xr:uid="{CC0A7AD3-E88C-444B-85F8-585BB5A31A54}"/>
    <cellStyle name="Įprastas 5 3 6 8" xfId="3345" xr:uid="{D8759C0E-18BE-4CC3-88E2-6EA6FAD49A50}"/>
    <cellStyle name="Įprastas 5 3 6_8 priedas" xfId="1074" xr:uid="{00000000-0005-0000-0000-00006A030000}"/>
    <cellStyle name="Įprastas 5 3 7" xfId="318" xr:uid="{00000000-0005-0000-0000-00006B030000}"/>
    <cellStyle name="Įprastas 5 3 7 2" xfId="623" xr:uid="{00000000-0005-0000-0000-00006C030000}"/>
    <cellStyle name="Įprastas 5 3 7 2 2" xfId="1904" xr:uid="{4951056A-D4AA-495C-AEF4-17A7F5FBCAEE}"/>
    <cellStyle name="Įprastas 5 3 7 2 2 2" xfId="6228" xr:uid="{057B0CF5-C92B-43F3-A28E-80E1CB16AD46}"/>
    <cellStyle name="Įprastas 5 3 7 2 2 3" xfId="7956" xr:uid="{04742000-3A8C-4E8E-A84E-2D77C7718065}"/>
    <cellStyle name="Įprastas 5 3 7 2 2 4" xfId="4500" xr:uid="{A073F66B-841E-45D9-8DFB-55CFC5760D79}"/>
    <cellStyle name="Įprastas 5 3 7 2 2_8 priedas" xfId="9684" xr:uid="{F090FD04-1036-4B2E-A46B-F8DCCC99AC45}"/>
    <cellStyle name="Įprastas 5 3 7 2 3" xfId="2771" xr:uid="{75423D64-B1FB-4CB3-943A-9CF465796816}"/>
    <cellStyle name="Įprastas 5 3 7 2 3 2" xfId="5364" xr:uid="{A98A32F3-F1C7-4313-BEC0-2E6721F9A2AC}"/>
    <cellStyle name="Įprastas 5 3 7 2 3_8 priedas" xfId="9685" xr:uid="{35480525-CE39-4C30-ADAB-F7CCE0B071EC}"/>
    <cellStyle name="Įprastas 5 3 7 2 4" xfId="7092" xr:uid="{17CD01CB-1FD2-4BB0-9599-8887FCA5FEAC}"/>
    <cellStyle name="Įprastas 5 3 7 2 5" xfId="3636" xr:uid="{AA9F2541-A909-4F36-9EFC-91FD144670B8}"/>
    <cellStyle name="Įprastas 5 3 7 2_8 priedas" xfId="9683" xr:uid="{1F24FB0D-1B07-4543-A4E3-D8CC6ECB00EF}"/>
    <cellStyle name="Įprastas 5 3 7 3" xfId="1905" xr:uid="{7E2F95EE-5CE7-4B8D-82DD-746D79AACFD1}"/>
    <cellStyle name="Įprastas 5 3 7 3 2" xfId="5940" xr:uid="{3C144430-1EA2-40F3-8C95-7D8CED4993B1}"/>
    <cellStyle name="Įprastas 5 3 7 3 3" xfId="7668" xr:uid="{D7FBE7A3-8813-4BE4-A8B4-744639E0A848}"/>
    <cellStyle name="Įprastas 5 3 7 3 4" xfId="4212" xr:uid="{D2895D10-A2E7-41A6-88F3-5A548AC884C4}"/>
    <cellStyle name="Įprastas 5 3 7 3_8 priedas" xfId="9686" xr:uid="{5E9B692B-E75C-44A6-9125-3621EE2F70DB}"/>
    <cellStyle name="Įprastas 5 3 7 4" xfId="2483" xr:uid="{064CD3D5-D25F-487D-9D59-4EE779FB6693}"/>
    <cellStyle name="Įprastas 5 3 7 4 2" xfId="5076" xr:uid="{56538651-D793-4ACD-B9C7-0474083CCC6F}"/>
    <cellStyle name="Įprastas 5 3 7 4_8 priedas" xfId="9687" xr:uid="{F0B47244-C480-4063-B3B4-E4FB0B2C93C2}"/>
    <cellStyle name="Įprastas 5 3 7 5" xfId="6804" xr:uid="{3B75A129-F2E7-4C39-868E-05C7FF89E66C}"/>
    <cellStyle name="Įprastas 5 3 7 6" xfId="3348" xr:uid="{E0F16828-2766-4598-8D4D-46BD5FB6B15A}"/>
    <cellStyle name="Įprastas 5 3 7_8 priedas" xfId="1027" xr:uid="{00000000-0005-0000-0000-00006D030000}"/>
    <cellStyle name="Įprastas 5 3 8" xfId="319" xr:uid="{00000000-0005-0000-0000-00006E030000}"/>
    <cellStyle name="Įprastas 5 3 8 2" xfId="767" xr:uid="{00000000-0005-0000-0000-00006F030000}"/>
    <cellStyle name="Įprastas 5 3 8 2 2" xfId="1906" xr:uid="{C551960B-FCB1-4533-830D-A8EA58414351}"/>
    <cellStyle name="Įprastas 5 3 8 2 2 2" xfId="6372" xr:uid="{085D95E3-516B-4FB4-B7A8-6173D9EC8D29}"/>
    <cellStyle name="Įprastas 5 3 8 2 2 3" xfId="8100" xr:uid="{478F08AB-00E7-47F7-9289-E87021AA79C0}"/>
    <cellStyle name="Įprastas 5 3 8 2 2 4" xfId="4644" xr:uid="{CBBCFC99-CB4B-4D03-9DDB-19F2592973B1}"/>
    <cellStyle name="Įprastas 5 3 8 2 2_8 priedas" xfId="9689" xr:uid="{07FF9A57-D57B-46E0-A6BC-B8844F502E70}"/>
    <cellStyle name="Įprastas 5 3 8 2 3" xfId="2915" xr:uid="{145E5962-0E2B-4817-9515-01D875E71775}"/>
    <cellStyle name="Įprastas 5 3 8 2 3 2" xfId="5508" xr:uid="{DD13C3B4-4A34-40BC-AD9E-D75A65751571}"/>
    <cellStyle name="Įprastas 5 3 8 2 3_8 priedas" xfId="9690" xr:uid="{7D8CA149-6E8F-4B10-BC2C-855EE78C2760}"/>
    <cellStyle name="Įprastas 5 3 8 2 4" xfId="7236" xr:uid="{A48F1FD7-92ED-4532-A4FC-221F57B85BBC}"/>
    <cellStyle name="Įprastas 5 3 8 2 5" xfId="3780" xr:uid="{AA4B6510-DBE3-4137-86B3-2C8397D79354}"/>
    <cellStyle name="Įprastas 5 3 8 2_8 priedas" xfId="9688" xr:uid="{FA537C24-BFF0-4BCE-AE82-3B239D91FD11}"/>
    <cellStyle name="Įprastas 5 3 8 3" xfId="1907" xr:uid="{FA2BCBDA-E179-464F-9006-EEDEC430B71C}"/>
    <cellStyle name="Įprastas 5 3 8 3 2" xfId="5941" xr:uid="{A060D9A2-93B9-49D9-98FF-36CBBAD5A0C2}"/>
    <cellStyle name="Įprastas 5 3 8 3 3" xfId="7669" xr:uid="{1BC53ABF-B9E3-442B-9B47-0F0BBE502BEB}"/>
    <cellStyle name="Įprastas 5 3 8 3 4" xfId="4213" xr:uid="{BEA1626F-AC34-448D-AD72-635B0CD38CF6}"/>
    <cellStyle name="Įprastas 5 3 8 3_8 priedas" xfId="9691" xr:uid="{685DAE8B-3E26-4865-85DE-2C744AD368D0}"/>
    <cellStyle name="Įprastas 5 3 8 4" xfId="2484" xr:uid="{CE610983-98C8-423C-BB4C-AFCC4E5E55CD}"/>
    <cellStyle name="Įprastas 5 3 8 4 2" xfId="5077" xr:uid="{B6084C29-21E2-4996-B372-36955E1DB13D}"/>
    <cellStyle name="Įprastas 5 3 8 4_8 priedas" xfId="9692" xr:uid="{266A5CE1-CFEE-434E-AE5D-8B5CBEA25088}"/>
    <cellStyle name="Įprastas 5 3 8 5" xfId="6805" xr:uid="{7A30927F-97FD-4840-B5B3-FC126230FCF3}"/>
    <cellStyle name="Įprastas 5 3 8 6" xfId="3349" xr:uid="{4F81BFAE-6EAC-4A89-A7F2-D20ACB183AAB}"/>
    <cellStyle name="Įprastas 5 3 8_8 priedas" xfId="1252" xr:uid="{00000000-0005-0000-0000-000070030000}"/>
    <cellStyle name="Įprastas 5 3 9" xfId="479" xr:uid="{00000000-0005-0000-0000-000071030000}"/>
    <cellStyle name="Įprastas 5 3 9 2" xfId="1908" xr:uid="{68043772-EF93-4BEC-A8D2-BF25D6E6FDEC}"/>
    <cellStyle name="Įprastas 5 3 9 2 2" xfId="6084" xr:uid="{F928F192-3093-4BFD-B39C-10CF40797B3E}"/>
    <cellStyle name="Įprastas 5 3 9 2 3" xfId="7812" xr:uid="{698586ED-8F03-4903-92CD-CD4E5DDF9D79}"/>
    <cellStyle name="Įprastas 5 3 9 2 4" xfId="4356" xr:uid="{86138E12-75DD-4943-8F4E-0E756BEDB436}"/>
    <cellStyle name="Įprastas 5 3 9 2_8 priedas" xfId="9694" xr:uid="{E4471F1F-43F0-4C3A-93EB-DFA0B8968D02}"/>
    <cellStyle name="Įprastas 5 3 9 3" xfId="2627" xr:uid="{3BBD0AEB-D425-4CF9-8E69-B3A0D9F09FCD}"/>
    <cellStyle name="Įprastas 5 3 9 3 2" xfId="5220" xr:uid="{B8E1EBA1-70A7-44F4-BEAD-61BF4D1C7C8B}"/>
    <cellStyle name="Įprastas 5 3 9 3_8 priedas" xfId="9695" xr:uid="{B2675F08-1685-481A-B4AA-7CAE9E206EC2}"/>
    <cellStyle name="Įprastas 5 3 9 4" xfId="6948" xr:uid="{0E08C10F-0189-447B-89E3-1999DA4E5AB5}"/>
    <cellStyle name="Įprastas 5 3 9 5" xfId="3492" xr:uid="{B65EE1AF-7B0A-4795-94C3-7A8B2C72651F}"/>
    <cellStyle name="Įprastas 5 3 9_8 priedas" xfId="9693" xr:uid="{9DF96C53-453B-4F23-9893-6950CBC1347B}"/>
    <cellStyle name="Įprastas 5 3_8 priedas" xfId="30" xr:uid="{00000000-0005-0000-0000-000072030000}"/>
    <cellStyle name="Įprastas 5 4" xfId="18" xr:uid="{00000000-0005-0000-0000-000073030000}"/>
    <cellStyle name="Įprastas 5 4 10" xfId="1909" xr:uid="{E6BB58D4-6958-4B1F-B8DD-A0D0CD03EE1C}"/>
    <cellStyle name="Įprastas 5 4 10 2" xfId="5653" xr:uid="{DB7063B6-5BDD-4964-BDFA-636BF916A704}"/>
    <cellStyle name="Įprastas 5 4 10 3" xfId="7381" xr:uid="{5B9A0FD1-615D-4B99-A20E-4BCA7B8072F8}"/>
    <cellStyle name="Įprastas 5 4 10 4" xfId="3925" xr:uid="{0E3EE6F2-5518-40BC-86D7-F55DF4ED9DF4}"/>
    <cellStyle name="Įprastas 5 4 10_8 priedas" xfId="9696" xr:uid="{3FF9C970-0985-4CAB-B837-9F806EE97CC8}"/>
    <cellStyle name="Įprastas 5 4 11" xfId="2196" xr:uid="{70747270-4AED-447A-9324-5DC17748D65D}"/>
    <cellStyle name="Įprastas 5 4 11 2" xfId="4789" xr:uid="{B3E9976F-E9E8-40AF-B04F-F24DBAB340F7}"/>
    <cellStyle name="Įprastas 5 4 11_8 priedas" xfId="9697" xr:uid="{A84A4EEB-B9BC-4EF4-957D-7A02A582CCAB}"/>
    <cellStyle name="Įprastas 5 4 12" xfId="6517" xr:uid="{D62CD514-514F-4F49-8000-6E1B7200242E}"/>
    <cellStyle name="Įprastas 5 4 13" xfId="3061" xr:uid="{377F9EFB-8A9C-4B17-A1E5-4D1DCB91DFF6}"/>
    <cellStyle name="Įprastas 5 4 2" xfId="26" xr:uid="{00000000-0005-0000-0000-000074030000}"/>
    <cellStyle name="Įprastas 5 4 2 10" xfId="2201" xr:uid="{BFE8665F-CCE3-49CD-821B-F47794872E67}"/>
    <cellStyle name="Įprastas 5 4 2 10 2" xfId="4794" xr:uid="{CA2F1955-ACE3-4BE1-A423-E2FF9AA165D0}"/>
    <cellStyle name="Įprastas 5 4 2 10_8 priedas" xfId="9698" xr:uid="{18E2DA2E-35A6-4AC9-A635-300F186DA2FF}"/>
    <cellStyle name="Įprastas 5 4 2 11" xfId="6522" xr:uid="{E64EFF25-1A93-4D19-96CC-F3C1CC655193}"/>
    <cellStyle name="Įprastas 5 4 2 12" xfId="3066" xr:uid="{6B0F1865-7A29-417A-A085-23669E1453D3}"/>
    <cellStyle name="Įprastas 5 4 2 2" xfId="321" xr:uid="{00000000-0005-0000-0000-000075030000}"/>
    <cellStyle name="Įprastas 5 4 2 2 10" xfId="6806" xr:uid="{CC46D567-B760-4EE3-ADEC-791C0A9AD377}"/>
    <cellStyle name="Įprastas 5 4 2 2 11" xfId="3350" xr:uid="{E6DFBF7B-570B-451C-A9A6-0275461F51C5}"/>
    <cellStyle name="Įprastas 5 4 2 2 2" xfId="322" xr:uid="{00000000-0005-0000-0000-000076030000}"/>
    <cellStyle name="Įprastas 5 4 2 2 2 10" xfId="3351" xr:uid="{AE51E72F-CF13-4DD8-AD65-4402E7F81D30}"/>
    <cellStyle name="Įprastas 5 4 2 2 2 2" xfId="323" xr:uid="{00000000-0005-0000-0000-000077030000}"/>
    <cellStyle name="Įprastas 5 4 2 2 2 2 2" xfId="324" xr:uid="{00000000-0005-0000-0000-000078030000}"/>
    <cellStyle name="Įprastas 5 4 2 2 2 2 2 2" xfId="713" xr:uid="{00000000-0005-0000-0000-000079030000}"/>
    <cellStyle name="Įprastas 5 4 2 2 2 2 2 2 2" xfId="1910" xr:uid="{905D8DFA-9D3F-4B7C-BD65-FFE437FAA8E7}"/>
    <cellStyle name="Įprastas 5 4 2 2 2 2 2 2 2 2" xfId="6318" xr:uid="{C829951A-AE62-434E-9AE5-4FA27CD99FFC}"/>
    <cellStyle name="Įprastas 5 4 2 2 2 2 2 2 2 3" xfId="8046" xr:uid="{9202B6C5-50CC-47FA-80CD-3ED9CC7BB3FB}"/>
    <cellStyle name="Įprastas 5 4 2 2 2 2 2 2 2 4" xfId="4590" xr:uid="{29193450-C874-468F-8AC3-2E1F4D1971A7}"/>
    <cellStyle name="Įprastas 5 4 2 2 2 2 2 2 2_8 priedas" xfId="9700" xr:uid="{97302162-C120-42D6-8324-4894A30BB70F}"/>
    <cellStyle name="Įprastas 5 4 2 2 2 2 2 2 3" xfId="2861" xr:uid="{92FC641D-17ED-4F82-9D0D-81A3A33383E6}"/>
    <cellStyle name="Įprastas 5 4 2 2 2 2 2 2 3 2" xfId="5454" xr:uid="{AAD5167B-BC35-40E3-80AF-5C8FC41A282E}"/>
    <cellStyle name="Įprastas 5 4 2 2 2 2 2 2 3_8 priedas" xfId="9701" xr:uid="{7ACC096F-9E06-4A6F-908A-FB12CB0B776A}"/>
    <cellStyle name="Įprastas 5 4 2 2 2 2 2 2 4" xfId="7182" xr:uid="{54E36A6B-C4EC-4F01-8EAE-4EF629EEBEF2}"/>
    <cellStyle name="Įprastas 5 4 2 2 2 2 2 2 5" xfId="3726" xr:uid="{D72A9809-BDD2-4708-A2E4-4E7FCF36161C}"/>
    <cellStyle name="Įprastas 5 4 2 2 2 2 2 2_8 priedas" xfId="9699" xr:uid="{10AC6127-5D9E-44E8-889F-F8052C64CF22}"/>
    <cellStyle name="Įprastas 5 4 2 2 2 2 2 3" xfId="1911" xr:uid="{13335E3A-FCD9-4D6B-9F3B-2EDF1067BA75}"/>
    <cellStyle name="Įprastas 5 4 2 2 2 2 2 3 2" xfId="5945" xr:uid="{4586BDB3-B85B-4914-8AE5-DC0E65044E2A}"/>
    <cellStyle name="Įprastas 5 4 2 2 2 2 2 3 3" xfId="7673" xr:uid="{4E3B3F30-52EB-42C1-A888-45D7C3CF783F}"/>
    <cellStyle name="Įprastas 5 4 2 2 2 2 2 3 4" xfId="4217" xr:uid="{402EE28F-97CE-45CB-93E6-D6B28AB7AE72}"/>
    <cellStyle name="Įprastas 5 4 2 2 2 2 2 3_8 priedas" xfId="9702" xr:uid="{BC0640D7-B18F-472B-B26D-26B2D1B512A4}"/>
    <cellStyle name="Įprastas 5 4 2 2 2 2 2 4" xfId="2488" xr:uid="{B8E77C24-B17C-4315-B00F-8A80B2A5842C}"/>
    <cellStyle name="Įprastas 5 4 2 2 2 2 2 4 2" xfId="5081" xr:uid="{96556621-7F96-4EF6-95BA-4B04E2A9FC03}"/>
    <cellStyle name="Įprastas 5 4 2 2 2 2 2 4_8 priedas" xfId="9703" xr:uid="{508D3844-7897-4E05-A0EC-8309FD1772A4}"/>
    <cellStyle name="Įprastas 5 4 2 2 2 2 2 5" xfId="6809" xr:uid="{8CB26BAD-567F-439E-9050-D2EB0A61B96A}"/>
    <cellStyle name="Įprastas 5 4 2 2 2 2 2 6" xfId="3353" xr:uid="{EB76BD4C-5684-4A4D-AB06-0B77AF59A800}"/>
    <cellStyle name="Įprastas 5 4 2 2 2 2 2_8 priedas" xfId="1050" xr:uid="{00000000-0005-0000-0000-00007A030000}"/>
    <cellStyle name="Įprastas 5 4 2 2 2 2 3" xfId="325" xr:uid="{00000000-0005-0000-0000-00007B030000}"/>
    <cellStyle name="Įprastas 5 4 2 2 2 2 3 2" xfId="857" xr:uid="{00000000-0005-0000-0000-00007C030000}"/>
    <cellStyle name="Įprastas 5 4 2 2 2 2 3 2 2" xfId="1912" xr:uid="{A4489A5D-79BF-4C7A-8039-238886952A81}"/>
    <cellStyle name="Įprastas 5 4 2 2 2 2 3 2 2 2" xfId="6462" xr:uid="{8F690FEB-5CBF-49DB-8761-673023BB1C38}"/>
    <cellStyle name="Įprastas 5 4 2 2 2 2 3 2 2 3" xfId="8190" xr:uid="{52CB97E8-7706-483D-A570-B210395454E8}"/>
    <cellStyle name="Įprastas 5 4 2 2 2 2 3 2 2 4" xfId="4734" xr:uid="{0EFFF160-B364-482D-B683-32380DAAAB88}"/>
    <cellStyle name="Įprastas 5 4 2 2 2 2 3 2 2_8 priedas" xfId="9705" xr:uid="{0B73DB18-BB8B-4704-96D6-1E951F6343EF}"/>
    <cellStyle name="Įprastas 5 4 2 2 2 2 3 2 3" xfId="3005" xr:uid="{89F9864E-0971-4E4C-976F-DC86B7A6D017}"/>
    <cellStyle name="Įprastas 5 4 2 2 2 2 3 2 3 2" xfId="5598" xr:uid="{F521ED73-E8B7-4433-8347-0DB02D850507}"/>
    <cellStyle name="Įprastas 5 4 2 2 2 2 3 2 3_8 priedas" xfId="9706" xr:uid="{FCADFA99-3B67-46F8-9106-FE4C996874FC}"/>
    <cellStyle name="Įprastas 5 4 2 2 2 2 3 2 4" xfId="7326" xr:uid="{C18EC349-CEEB-4540-8191-0B4D1B4BD0E4}"/>
    <cellStyle name="Įprastas 5 4 2 2 2 2 3 2 5" xfId="3870" xr:uid="{B54238D6-4FDA-410E-B23A-9509CD40C1DE}"/>
    <cellStyle name="Įprastas 5 4 2 2 2 2 3 2_8 priedas" xfId="9704" xr:uid="{514DB337-0B61-40AF-9254-47049329E79D}"/>
    <cellStyle name="Įprastas 5 4 2 2 2 2 3 3" xfId="1913" xr:uid="{F2199324-C8B2-4EE7-BA10-E06031B2AAD2}"/>
    <cellStyle name="Įprastas 5 4 2 2 2 2 3 3 2" xfId="5946" xr:uid="{BAB981DD-2B29-4BDD-A3CD-8A7044B25395}"/>
    <cellStyle name="Įprastas 5 4 2 2 2 2 3 3 3" xfId="7674" xr:uid="{844627D6-C590-4B52-B1A9-B956072EC87B}"/>
    <cellStyle name="Įprastas 5 4 2 2 2 2 3 3 4" xfId="4218" xr:uid="{71D306A3-7C56-4413-BE7F-5144D1C5168B}"/>
    <cellStyle name="Įprastas 5 4 2 2 2 2 3 3_8 priedas" xfId="9707" xr:uid="{0DACF16B-A8B4-467F-9775-79D7D4B27D45}"/>
    <cellStyle name="Įprastas 5 4 2 2 2 2 3 4" xfId="2489" xr:uid="{65B7125E-7B72-447C-BA40-C1F990C3C829}"/>
    <cellStyle name="Įprastas 5 4 2 2 2 2 3 4 2" xfId="5082" xr:uid="{85973250-F82A-4D9A-BA54-842369E9A7F0}"/>
    <cellStyle name="Įprastas 5 4 2 2 2 2 3 4_8 priedas" xfId="9708" xr:uid="{DDBA2F87-AA1C-4131-92BD-260D4D41DEDD}"/>
    <cellStyle name="Įprastas 5 4 2 2 2 2 3 5" xfId="6810" xr:uid="{419C971A-1BE9-4D79-AD68-C91AD5A761DF}"/>
    <cellStyle name="Įprastas 5 4 2 2 2 2 3 6" xfId="3354" xr:uid="{1EFCA271-0254-4F12-90B8-1413AF67AB1D}"/>
    <cellStyle name="Įprastas 5 4 2 2 2 2 3_8 priedas" xfId="1274" xr:uid="{00000000-0005-0000-0000-00007D030000}"/>
    <cellStyle name="Įprastas 5 4 2 2 2 2 4" xfId="569" xr:uid="{00000000-0005-0000-0000-00007E030000}"/>
    <cellStyle name="Įprastas 5 4 2 2 2 2 4 2" xfId="1914" xr:uid="{204FD012-868A-482E-A104-2364E4542509}"/>
    <cellStyle name="Įprastas 5 4 2 2 2 2 4 2 2" xfId="6174" xr:uid="{15DF9AF0-ABB2-4561-908E-5042B516CDC8}"/>
    <cellStyle name="Įprastas 5 4 2 2 2 2 4 2 3" xfId="7902" xr:uid="{A105C436-0082-419F-ADF6-BEFA74E40D0C}"/>
    <cellStyle name="Įprastas 5 4 2 2 2 2 4 2 4" xfId="4446" xr:uid="{648BED74-55ED-45E9-B9A4-421B032B233F}"/>
    <cellStyle name="Įprastas 5 4 2 2 2 2 4 2_8 priedas" xfId="9710" xr:uid="{F0C95438-0743-4631-AB1B-51544E29AFFE}"/>
    <cellStyle name="Įprastas 5 4 2 2 2 2 4 3" xfId="2717" xr:uid="{E3574EBA-1479-43B8-B640-8CB2C78534A2}"/>
    <cellStyle name="Įprastas 5 4 2 2 2 2 4 3 2" xfId="5310" xr:uid="{23128952-51A5-4813-9315-3FDB2ADB683A}"/>
    <cellStyle name="Įprastas 5 4 2 2 2 2 4 3_8 priedas" xfId="9711" xr:uid="{B1A66409-BCF3-425A-A649-2BBB9ED0F51F}"/>
    <cellStyle name="Įprastas 5 4 2 2 2 2 4 4" xfId="7038" xr:uid="{D05DA2FF-E33D-44A6-861A-B9366C3D9556}"/>
    <cellStyle name="Įprastas 5 4 2 2 2 2 4 5" xfId="3582" xr:uid="{3154342C-F862-4DD8-AAF7-338FB8AF0956}"/>
    <cellStyle name="Įprastas 5 4 2 2 2 2 4_8 priedas" xfId="9709" xr:uid="{EFE688E5-247A-4F43-9C9B-CEE906BD5E27}"/>
    <cellStyle name="Įprastas 5 4 2 2 2 2 5" xfId="1915" xr:uid="{C2EED52C-3AB4-43D0-B4C3-F0C0A7809D75}"/>
    <cellStyle name="Įprastas 5 4 2 2 2 2 5 2" xfId="5944" xr:uid="{8FA45397-E64C-484B-80B9-00B9967B8D93}"/>
    <cellStyle name="Įprastas 5 4 2 2 2 2 5 3" xfId="7672" xr:uid="{CD1F197D-4DEE-49C4-B681-F7A595B77762}"/>
    <cellStyle name="Įprastas 5 4 2 2 2 2 5 4" xfId="4216" xr:uid="{1C193CE2-5D08-4541-9F75-B0FBDAAF7B58}"/>
    <cellStyle name="Įprastas 5 4 2 2 2 2 5_8 priedas" xfId="9712" xr:uid="{8B9C02C9-754D-4EFB-992A-F38AF4B87145}"/>
    <cellStyle name="Įprastas 5 4 2 2 2 2 6" xfId="2487" xr:uid="{E8A689AA-5FD5-46FF-97D8-1651A7862D41}"/>
    <cellStyle name="Įprastas 5 4 2 2 2 2 6 2" xfId="5080" xr:uid="{7C06CED4-6F19-4861-A0D2-30F8CFCB1B6A}"/>
    <cellStyle name="Įprastas 5 4 2 2 2 2 6_8 priedas" xfId="9713" xr:uid="{4AF19586-7681-450F-809F-07E90B4B2BDB}"/>
    <cellStyle name="Įprastas 5 4 2 2 2 2 7" xfId="6808" xr:uid="{042EEAB4-936D-4354-94D3-05EDF163A3DA}"/>
    <cellStyle name="Įprastas 5 4 2 2 2 2 8" xfId="3352" xr:uid="{A410859B-BF51-4AED-BFDE-DED056AB1CC7}"/>
    <cellStyle name="Įprastas 5 4 2 2 2 2_8 priedas" xfId="1186" xr:uid="{00000000-0005-0000-0000-00007F030000}"/>
    <cellStyle name="Įprastas 5 4 2 2 2 3" xfId="326" xr:uid="{00000000-0005-0000-0000-000080030000}"/>
    <cellStyle name="Įprastas 5 4 2 2 2 3 2" xfId="327" xr:uid="{00000000-0005-0000-0000-000081030000}"/>
    <cellStyle name="Įprastas 5 4 2 2 2 3 2 2" xfId="761" xr:uid="{00000000-0005-0000-0000-000082030000}"/>
    <cellStyle name="Įprastas 5 4 2 2 2 3 2 2 2" xfId="1916" xr:uid="{AFBD9530-ADD4-4702-841B-5BCB42739DD1}"/>
    <cellStyle name="Įprastas 5 4 2 2 2 3 2 2 2 2" xfId="6366" xr:uid="{6D4C787F-0E8C-413D-873E-0768545B69A0}"/>
    <cellStyle name="Įprastas 5 4 2 2 2 3 2 2 2 3" xfId="8094" xr:uid="{F6C2DC62-C607-48F6-A85B-8783E93A9E82}"/>
    <cellStyle name="Įprastas 5 4 2 2 2 3 2 2 2 4" xfId="4638" xr:uid="{72519ED2-B4E2-4979-B00A-D54148C181B2}"/>
    <cellStyle name="Įprastas 5 4 2 2 2 3 2 2 2_8 priedas" xfId="9715" xr:uid="{6FC61FFF-5D7D-433F-B1E8-7B42B3A36FE0}"/>
    <cellStyle name="Įprastas 5 4 2 2 2 3 2 2 3" xfId="2909" xr:uid="{73A503BD-2FE2-4550-B5AF-3D1A28110181}"/>
    <cellStyle name="Įprastas 5 4 2 2 2 3 2 2 3 2" xfId="5502" xr:uid="{14A7BC56-BE5F-4991-A26E-F77BF11736BD}"/>
    <cellStyle name="Įprastas 5 4 2 2 2 3 2 2 3_8 priedas" xfId="9716" xr:uid="{264E03E4-54DB-4329-9868-95628A0B0322}"/>
    <cellStyle name="Įprastas 5 4 2 2 2 3 2 2 4" xfId="7230" xr:uid="{3426F554-E3D2-4F91-A969-B69BB1405011}"/>
    <cellStyle name="Įprastas 5 4 2 2 2 3 2 2 5" xfId="3774" xr:uid="{B0F2F7FD-819A-46E9-A59F-6943BBE75461}"/>
    <cellStyle name="Įprastas 5 4 2 2 2 3 2 2_8 priedas" xfId="9714" xr:uid="{C525526A-13AD-4EFC-A7FB-D86017081D49}"/>
    <cellStyle name="Įprastas 5 4 2 2 2 3 2 3" xfId="1917" xr:uid="{3C27BEE0-46CD-4DA6-8484-F694BE10CE15}"/>
    <cellStyle name="Įprastas 5 4 2 2 2 3 2 3 2" xfId="5948" xr:uid="{4C5BECEA-96E9-4AD3-839B-2D428F0E0D68}"/>
    <cellStyle name="Įprastas 5 4 2 2 2 3 2 3 3" xfId="7676" xr:uid="{9156C5BF-C021-4BF8-ADF8-DCF6F1C51F47}"/>
    <cellStyle name="Įprastas 5 4 2 2 2 3 2 3 4" xfId="4220" xr:uid="{6B4CFDA7-0157-4CAF-911C-BDA9DA4A1FD6}"/>
    <cellStyle name="Įprastas 5 4 2 2 2 3 2 3_8 priedas" xfId="9717" xr:uid="{7EF7C968-668D-49EC-9B05-E1C8D79B014A}"/>
    <cellStyle name="Įprastas 5 4 2 2 2 3 2 4" xfId="2491" xr:uid="{336B6548-80BC-4C71-94B0-900DFA3C0A3B}"/>
    <cellStyle name="Įprastas 5 4 2 2 2 3 2 4 2" xfId="5084" xr:uid="{19609AFE-B054-45A9-BFB5-8736BC41B464}"/>
    <cellStyle name="Įprastas 5 4 2 2 2 3 2 4_8 priedas" xfId="9718" xr:uid="{FBD7826A-EC4F-4777-A107-9A7DD336CA79}"/>
    <cellStyle name="Įprastas 5 4 2 2 2 3 2 5" xfId="6812" xr:uid="{8277B546-40CF-4745-9BBB-106D13C986E9}"/>
    <cellStyle name="Įprastas 5 4 2 2 2 3 2 6" xfId="3356" xr:uid="{A8DF31BF-2A92-4966-A6B2-038C0A70F665}"/>
    <cellStyle name="Įprastas 5 4 2 2 2 3 2_8 priedas" xfId="1002" xr:uid="{00000000-0005-0000-0000-000083030000}"/>
    <cellStyle name="Įprastas 5 4 2 2 2 3 3" xfId="328" xr:uid="{00000000-0005-0000-0000-000084030000}"/>
    <cellStyle name="Įprastas 5 4 2 2 2 3 3 2" xfId="905" xr:uid="{00000000-0005-0000-0000-000085030000}"/>
    <cellStyle name="Įprastas 5 4 2 2 2 3 3 2 2" xfId="1918" xr:uid="{C8240826-87A3-4D7C-A8D9-D8EF4C2BBAFA}"/>
    <cellStyle name="Įprastas 5 4 2 2 2 3 3 2 2 2" xfId="6510" xr:uid="{9A4EFAC7-043E-4846-88A7-8D7F4362757D}"/>
    <cellStyle name="Įprastas 5 4 2 2 2 3 3 2 2 3" xfId="8238" xr:uid="{4C2C84E3-B8C0-4358-AB79-BCA5719FC0E5}"/>
    <cellStyle name="Įprastas 5 4 2 2 2 3 3 2 2 4" xfId="4782" xr:uid="{792AA9E7-D474-4E24-8653-4C6F04D92357}"/>
    <cellStyle name="Įprastas 5 4 2 2 2 3 3 2 2_8 priedas" xfId="9720" xr:uid="{9A92233E-1DF0-46FE-AEE5-EDBE7B0D266D}"/>
    <cellStyle name="Įprastas 5 4 2 2 2 3 3 2 3" xfId="3053" xr:uid="{351C5D77-1B7B-4A7C-A014-FEEAEF66206D}"/>
    <cellStyle name="Įprastas 5 4 2 2 2 3 3 2 3 2" xfId="5646" xr:uid="{AE9FDCF1-B82B-4525-A1D3-48481C52BDDD}"/>
    <cellStyle name="Įprastas 5 4 2 2 2 3 3 2 3_8 priedas" xfId="9721" xr:uid="{B9946A2F-84A6-494F-BDBE-D3C38B00FFC8}"/>
    <cellStyle name="Įprastas 5 4 2 2 2 3 3 2 4" xfId="7374" xr:uid="{053CB310-476E-4C03-BFD1-A30EDE8377F8}"/>
    <cellStyle name="Įprastas 5 4 2 2 2 3 3 2 5" xfId="3918" xr:uid="{B8071F97-9655-4050-A9B1-0087BD529D5A}"/>
    <cellStyle name="Įprastas 5 4 2 2 2 3 3 2_8 priedas" xfId="9719" xr:uid="{73B44C05-36A7-4F91-AB11-D0F2489F165B}"/>
    <cellStyle name="Įprastas 5 4 2 2 2 3 3 3" xfId="1919" xr:uid="{AE3DE86C-B32F-4C39-B5F0-D5DF7F852C00}"/>
    <cellStyle name="Įprastas 5 4 2 2 2 3 3 3 2" xfId="5949" xr:uid="{25EB88A8-6E94-47EA-BBFD-0286334AA3B0}"/>
    <cellStyle name="Įprastas 5 4 2 2 2 3 3 3 3" xfId="7677" xr:uid="{A56EFD62-1292-4448-98D8-EDED9B706FEF}"/>
    <cellStyle name="Įprastas 5 4 2 2 2 3 3 3 4" xfId="4221" xr:uid="{7C71FD6C-AAB3-479C-9AE4-469468FA679A}"/>
    <cellStyle name="Įprastas 5 4 2 2 2 3 3 3_8 priedas" xfId="9722" xr:uid="{01DD332D-CD9B-49BD-99F7-49130C286B28}"/>
    <cellStyle name="Įprastas 5 4 2 2 2 3 3 4" xfId="2492" xr:uid="{94425381-EE47-485D-B799-5B68F4BE1A9D}"/>
    <cellStyle name="Įprastas 5 4 2 2 2 3 3 4 2" xfId="5085" xr:uid="{DEA039BE-7725-41BE-A451-DD3954C607C5}"/>
    <cellStyle name="Įprastas 5 4 2 2 2 3 3 4_8 priedas" xfId="9723" xr:uid="{1BF2F339-249D-49C2-A843-5473C2EF5E86}"/>
    <cellStyle name="Įprastas 5 4 2 2 2 3 3 5" xfId="6813" xr:uid="{5EE8D59F-BF75-4A4A-A5C6-33E1C7E42A50}"/>
    <cellStyle name="Įprastas 5 4 2 2 2 3 3 6" xfId="3357" xr:uid="{CD6D5F3B-D59E-4E1B-92C4-B2B5CBEB91FE}"/>
    <cellStyle name="Įprastas 5 4 2 2 2 3 3_8 priedas" xfId="961" xr:uid="{00000000-0005-0000-0000-000086030000}"/>
    <cellStyle name="Įprastas 5 4 2 2 2 3 4" xfId="617" xr:uid="{00000000-0005-0000-0000-000087030000}"/>
    <cellStyle name="Įprastas 5 4 2 2 2 3 4 2" xfId="1920" xr:uid="{62840E65-9359-41F3-A281-74F816BAAACE}"/>
    <cellStyle name="Įprastas 5 4 2 2 2 3 4 2 2" xfId="6222" xr:uid="{F1C0BCC5-FB0F-41A1-912E-77FE302D2EAD}"/>
    <cellStyle name="Įprastas 5 4 2 2 2 3 4 2 3" xfId="7950" xr:uid="{A0B21E64-36B9-43A0-BF77-E19D904C8CE9}"/>
    <cellStyle name="Įprastas 5 4 2 2 2 3 4 2 4" xfId="4494" xr:uid="{179E498D-F267-4461-9ED3-F847ECDF3FE7}"/>
    <cellStyle name="Įprastas 5 4 2 2 2 3 4 2_8 priedas" xfId="9725" xr:uid="{62F5BB43-4766-40B3-A162-ED02F8B6D719}"/>
    <cellStyle name="Įprastas 5 4 2 2 2 3 4 3" xfId="2765" xr:uid="{25A19821-6298-4CD7-8F5B-76640C6C5C3A}"/>
    <cellStyle name="Įprastas 5 4 2 2 2 3 4 3 2" xfId="5358" xr:uid="{EF9C22E2-0498-4C33-A254-2C3106C3F772}"/>
    <cellStyle name="Įprastas 5 4 2 2 2 3 4 3_8 priedas" xfId="9726" xr:uid="{3B1DDC37-20F8-49D5-8139-76E6F1F32717}"/>
    <cellStyle name="Įprastas 5 4 2 2 2 3 4 4" xfId="7086" xr:uid="{43F79F1C-4A86-47CB-8198-FDFA35F2A487}"/>
    <cellStyle name="Įprastas 5 4 2 2 2 3 4 5" xfId="3630" xr:uid="{E8A58288-DAA1-4786-A803-CA4293EB554B}"/>
    <cellStyle name="Įprastas 5 4 2 2 2 3 4_8 priedas" xfId="9724" xr:uid="{E524F183-C37B-4DF2-B4AA-ED26D4400E0B}"/>
    <cellStyle name="Įprastas 5 4 2 2 2 3 5" xfId="1921" xr:uid="{A439B07B-18F8-405E-BDBA-0CA4E36C0965}"/>
    <cellStyle name="Įprastas 5 4 2 2 2 3 5 2" xfId="5947" xr:uid="{042255A5-2B67-4005-9266-6E5889ABE161}"/>
    <cellStyle name="Įprastas 5 4 2 2 2 3 5 3" xfId="7675" xr:uid="{C3BFA89A-C58E-46F3-94A5-F69A74234DDA}"/>
    <cellStyle name="Įprastas 5 4 2 2 2 3 5 4" xfId="4219" xr:uid="{C897BA72-A30A-4ECC-B77E-E8BE93EAFFBF}"/>
    <cellStyle name="Įprastas 5 4 2 2 2 3 5_8 priedas" xfId="9727" xr:uid="{0033CEF5-7A8E-495B-9237-82613B3967F5}"/>
    <cellStyle name="Įprastas 5 4 2 2 2 3 6" xfId="2490" xr:uid="{4C4E5891-0DEB-4ACC-8BF2-AA76254CBCE6}"/>
    <cellStyle name="Įprastas 5 4 2 2 2 3 6 2" xfId="5083" xr:uid="{6A4F133B-9C59-40B5-B345-C5123AB7B2C8}"/>
    <cellStyle name="Įprastas 5 4 2 2 2 3 6_8 priedas" xfId="9728" xr:uid="{2ECB7288-4EB2-473E-8642-1318675FB14D}"/>
    <cellStyle name="Įprastas 5 4 2 2 2 3 7" xfId="6811" xr:uid="{BE3E9F33-57F6-4994-93D8-A4DD549A385C}"/>
    <cellStyle name="Įprastas 5 4 2 2 2 3 8" xfId="3355" xr:uid="{47C5E124-E98E-459A-9805-2EEC6888AA22}"/>
    <cellStyle name="Įprastas 5 4 2 2 2 3_8 priedas" xfId="1138" xr:uid="{00000000-0005-0000-0000-000088030000}"/>
    <cellStyle name="Įprastas 5 4 2 2 2 4" xfId="329" xr:uid="{00000000-0005-0000-0000-000089030000}"/>
    <cellStyle name="Įprastas 5 4 2 2 2 4 2" xfId="665" xr:uid="{00000000-0005-0000-0000-00008A030000}"/>
    <cellStyle name="Įprastas 5 4 2 2 2 4 2 2" xfId="1922" xr:uid="{3ABE1E5B-6CEA-4F63-81D3-FC65FA637CF6}"/>
    <cellStyle name="Įprastas 5 4 2 2 2 4 2 2 2" xfId="6270" xr:uid="{BC4EFC9B-E52F-4590-BE8A-2EDBC3C31AF4}"/>
    <cellStyle name="Įprastas 5 4 2 2 2 4 2 2 3" xfId="7998" xr:uid="{81C9BE53-686B-4620-8B67-BFE0740149C8}"/>
    <cellStyle name="Įprastas 5 4 2 2 2 4 2 2 4" xfId="4542" xr:uid="{637AEB4A-99D9-472B-992D-D75750BCB712}"/>
    <cellStyle name="Įprastas 5 4 2 2 2 4 2 2_8 priedas" xfId="9730" xr:uid="{D8133FD1-0E91-4F40-9A63-E422CC7AD707}"/>
    <cellStyle name="Įprastas 5 4 2 2 2 4 2 3" xfId="2813" xr:uid="{8D4D4C38-364B-49BD-86AE-9F145C2452D6}"/>
    <cellStyle name="Įprastas 5 4 2 2 2 4 2 3 2" xfId="5406" xr:uid="{5C62CFB5-2A91-442D-8E06-2E6B7EEE8617}"/>
    <cellStyle name="Įprastas 5 4 2 2 2 4 2 3_8 priedas" xfId="9731" xr:uid="{69084CE0-297B-4935-A4D5-36575371EF2A}"/>
    <cellStyle name="Įprastas 5 4 2 2 2 4 2 4" xfId="7134" xr:uid="{67249090-A17F-4BE9-B138-BCBCDA19CB07}"/>
    <cellStyle name="Įprastas 5 4 2 2 2 4 2 5" xfId="3678" xr:uid="{B67F0002-48A1-4FF0-8DAD-F470BFE850A6}"/>
    <cellStyle name="Įprastas 5 4 2 2 2 4 2_8 priedas" xfId="9729" xr:uid="{5D9ED9F9-474F-4978-B35D-CDB43C238749}"/>
    <cellStyle name="Įprastas 5 4 2 2 2 4 3" xfId="1923" xr:uid="{72415261-F8CC-4D67-9359-444001511CDA}"/>
    <cellStyle name="Įprastas 5 4 2 2 2 4 3 2" xfId="5950" xr:uid="{A40B47EC-5EEE-4397-B2A7-DA0F5204CB4A}"/>
    <cellStyle name="Įprastas 5 4 2 2 2 4 3 3" xfId="7678" xr:uid="{236990E7-377F-4464-9696-74257EAC6AFF}"/>
    <cellStyle name="Įprastas 5 4 2 2 2 4 3 4" xfId="4222" xr:uid="{7E152A01-B27C-4A5E-A2E6-CFBEBD8E0297}"/>
    <cellStyle name="Įprastas 5 4 2 2 2 4 3_8 priedas" xfId="9732" xr:uid="{C8D2938E-69AD-4E91-849C-C4DE9AE79294}"/>
    <cellStyle name="Įprastas 5 4 2 2 2 4 4" xfId="2493" xr:uid="{363AEAAA-7B15-44B7-B8AE-BA9DDB1A019A}"/>
    <cellStyle name="Įprastas 5 4 2 2 2 4 4 2" xfId="5086" xr:uid="{F4626E41-094F-4ACD-9780-F4901069CD72}"/>
    <cellStyle name="Įprastas 5 4 2 2 2 4 4_8 priedas" xfId="9733" xr:uid="{4D133298-6B5C-49F1-942E-215B01893E96}"/>
    <cellStyle name="Įprastas 5 4 2 2 2 4 5" xfId="6814" xr:uid="{4D42E6B1-E489-49B9-9332-52B2D144F81D}"/>
    <cellStyle name="Įprastas 5 4 2 2 2 4 6" xfId="3358" xr:uid="{BCF7E9CD-E59B-4BCB-9A28-63B1C2487872}"/>
    <cellStyle name="Įprastas 5 4 2 2 2 4_8 priedas" xfId="932" xr:uid="{00000000-0005-0000-0000-00008B030000}"/>
    <cellStyle name="Įprastas 5 4 2 2 2 5" xfId="330" xr:uid="{00000000-0005-0000-0000-00008C030000}"/>
    <cellStyle name="Įprastas 5 4 2 2 2 5 2" xfId="809" xr:uid="{00000000-0005-0000-0000-00008D030000}"/>
    <cellStyle name="Įprastas 5 4 2 2 2 5 2 2" xfId="1924" xr:uid="{CB630F45-E075-4EE7-8CCF-BA7DBFCD39BD}"/>
    <cellStyle name="Įprastas 5 4 2 2 2 5 2 2 2" xfId="6414" xr:uid="{29D1FB82-4FF6-4AE6-BB83-86C030CFAEBA}"/>
    <cellStyle name="Įprastas 5 4 2 2 2 5 2 2 3" xfId="8142" xr:uid="{BF2AE88F-6439-42BB-9F45-AF0D8F8806D2}"/>
    <cellStyle name="Įprastas 5 4 2 2 2 5 2 2 4" xfId="4686" xr:uid="{BC4FEF4C-20AD-4DC2-B04C-3BA5088FBFAE}"/>
    <cellStyle name="Įprastas 5 4 2 2 2 5 2 2_8 priedas" xfId="9735" xr:uid="{DF4339D1-5323-4CFE-9FF3-D45ACF02E257}"/>
    <cellStyle name="Įprastas 5 4 2 2 2 5 2 3" xfId="2957" xr:uid="{EA859F05-477D-4CE4-B0E9-BC90C9F640C8}"/>
    <cellStyle name="Įprastas 5 4 2 2 2 5 2 3 2" xfId="5550" xr:uid="{6856D459-C7E3-49EC-BB4A-EAAE60F64041}"/>
    <cellStyle name="Įprastas 5 4 2 2 2 5 2 3_8 priedas" xfId="9736" xr:uid="{0884029D-DB95-4FDB-A848-38F1DAC657BC}"/>
    <cellStyle name="Įprastas 5 4 2 2 2 5 2 4" xfId="7278" xr:uid="{996FDD4A-4D9C-4EC1-9B35-05B6EC8A1ADF}"/>
    <cellStyle name="Įprastas 5 4 2 2 2 5 2 5" xfId="3822" xr:uid="{E226A1CF-6452-489B-920E-694792770033}"/>
    <cellStyle name="Įprastas 5 4 2 2 2 5 2_8 priedas" xfId="9734" xr:uid="{A8793F61-9A5C-4481-98BA-9E9D82A49148}"/>
    <cellStyle name="Įprastas 5 4 2 2 2 5 3" xfId="1925" xr:uid="{07765698-29C1-4E87-A483-596711212793}"/>
    <cellStyle name="Įprastas 5 4 2 2 2 5 3 2" xfId="5951" xr:uid="{AB93DEDB-D00F-4963-86F8-431743A08732}"/>
    <cellStyle name="Įprastas 5 4 2 2 2 5 3 3" xfId="7679" xr:uid="{7C7BDA26-389A-46F7-80B6-62D0314AD7C4}"/>
    <cellStyle name="Įprastas 5 4 2 2 2 5 3 4" xfId="4223" xr:uid="{B82052C3-5123-484B-B993-983525E75168}"/>
    <cellStyle name="Įprastas 5 4 2 2 2 5 3_8 priedas" xfId="9737" xr:uid="{05EF5DCE-7BF0-48A6-B162-DBE26BC5F294}"/>
    <cellStyle name="Įprastas 5 4 2 2 2 5 4" xfId="2494" xr:uid="{906F9F22-6803-48E6-8B61-8FDF1AE68F7D}"/>
    <cellStyle name="Įprastas 5 4 2 2 2 5 4 2" xfId="5087" xr:uid="{AA136AA5-1EEF-4ABF-9C14-B2BB81F4A8AC}"/>
    <cellStyle name="Įprastas 5 4 2 2 2 5 4_8 priedas" xfId="9738" xr:uid="{587FD34F-E5C4-4AD3-B25F-0D53E6699045}"/>
    <cellStyle name="Įprastas 5 4 2 2 2 5 5" xfId="6815" xr:uid="{9AAC1A03-BA06-4397-9489-3C291756C667}"/>
    <cellStyle name="Įprastas 5 4 2 2 2 5 6" xfId="3359" xr:uid="{F07FECCC-F048-4C99-9399-8A882D962BDA}"/>
    <cellStyle name="Įprastas 5 4 2 2 2 5_8 priedas" xfId="915" xr:uid="{00000000-0005-0000-0000-00008E030000}"/>
    <cellStyle name="Įprastas 5 4 2 2 2 6" xfId="521" xr:uid="{00000000-0005-0000-0000-00008F030000}"/>
    <cellStyle name="Įprastas 5 4 2 2 2 6 2" xfId="1926" xr:uid="{1A9AAFFC-6D06-4A13-B09D-A29BD44A2FEC}"/>
    <cellStyle name="Įprastas 5 4 2 2 2 6 2 2" xfId="6126" xr:uid="{E5D1BF1E-BA7A-426F-9664-9D6C86148FAE}"/>
    <cellStyle name="Įprastas 5 4 2 2 2 6 2 3" xfId="7854" xr:uid="{2E5EEEFE-C6D5-41E1-BCE2-3D60488D5B32}"/>
    <cellStyle name="Įprastas 5 4 2 2 2 6 2 4" xfId="4398" xr:uid="{A0DCBAB9-7A3A-4D01-9A9D-7AF13E85A0FB}"/>
    <cellStyle name="Įprastas 5 4 2 2 2 6 2_8 priedas" xfId="9740" xr:uid="{773512DE-6F9C-42A9-9B25-9E4E059C3FF6}"/>
    <cellStyle name="Įprastas 5 4 2 2 2 6 3" xfId="2669" xr:uid="{096E7FD0-99F4-4F82-BC2A-BB527D89CD7A}"/>
    <cellStyle name="Įprastas 5 4 2 2 2 6 3 2" xfId="5262" xr:uid="{06A025B8-E473-443D-BFBE-0113DC84676D}"/>
    <cellStyle name="Įprastas 5 4 2 2 2 6 3_8 priedas" xfId="9741" xr:uid="{DD7BC31F-B504-4D3E-AD64-8BF524FC11EA}"/>
    <cellStyle name="Įprastas 5 4 2 2 2 6 4" xfId="6990" xr:uid="{5B1472E6-91AA-4479-9315-B8A8EFC64A0A}"/>
    <cellStyle name="Įprastas 5 4 2 2 2 6 5" xfId="3534" xr:uid="{99ABB371-E49B-4EEF-BA51-791172D9498C}"/>
    <cellStyle name="Įprastas 5 4 2 2 2 6_8 priedas" xfId="9739" xr:uid="{70232711-C3E2-4EF6-8D2D-40DD576D5761}"/>
    <cellStyle name="Įprastas 5 4 2 2 2 7" xfId="1927" xr:uid="{4B2886A8-9140-466E-B5F3-ADC508DC0E96}"/>
    <cellStyle name="Įprastas 5 4 2 2 2 7 2" xfId="5943" xr:uid="{13305D09-A498-46D9-8004-F6E67B947F25}"/>
    <cellStyle name="Įprastas 5 4 2 2 2 7 3" xfId="7671" xr:uid="{130FFF83-C92C-4EC0-AB2F-14F6465E5BC8}"/>
    <cellStyle name="Įprastas 5 4 2 2 2 7 4" xfId="4215" xr:uid="{4BE1DF5F-7EE4-4840-8048-C0B95879B0A5}"/>
    <cellStyle name="Įprastas 5 4 2 2 2 7_8 priedas" xfId="9742" xr:uid="{FE1E70B6-E731-4B8F-9693-018C097C51F0}"/>
    <cellStyle name="Įprastas 5 4 2 2 2 8" xfId="2486" xr:uid="{B42A48C6-D558-4A14-925A-0AA400C86447}"/>
    <cellStyle name="Įprastas 5 4 2 2 2 8 2" xfId="5079" xr:uid="{E37A0E2B-44E0-4487-A846-5B4E1DDE724D}"/>
    <cellStyle name="Įprastas 5 4 2 2 2 8_8 priedas" xfId="9743" xr:uid="{4514E579-23FF-4820-B457-CED511EF14FC}"/>
    <cellStyle name="Įprastas 5 4 2 2 2 9" xfId="6807" xr:uid="{1CBFCB43-8315-4ED3-895D-A6DF056D15BE}"/>
    <cellStyle name="Įprastas 5 4 2 2 2_8 priedas" xfId="1323" xr:uid="{00000000-0005-0000-0000-000090030000}"/>
    <cellStyle name="Įprastas 5 4 2 2 3" xfId="331" xr:uid="{00000000-0005-0000-0000-000091030000}"/>
    <cellStyle name="Įprastas 5 4 2 2 3 2" xfId="332" xr:uid="{00000000-0005-0000-0000-000092030000}"/>
    <cellStyle name="Įprastas 5 4 2 2 3 2 2" xfId="689" xr:uid="{00000000-0005-0000-0000-000093030000}"/>
    <cellStyle name="Įprastas 5 4 2 2 3 2 2 2" xfId="1928" xr:uid="{A6BA63D8-ED21-42DF-8365-CC1D58CC21DC}"/>
    <cellStyle name="Įprastas 5 4 2 2 3 2 2 2 2" xfId="6294" xr:uid="{7D2195D3-BD00-4395-BAD0-D9EC38CE9B4F}"/>
    <cellStyle name="Įprastas 5 4 2 2 3 2 2 2 3" xfId="8022" xr:uid="{1055F252-F5B8-4339-A355-C4978926D945}"/>
    <cellStyle name="Įprastas 5 4 2 2 3 2 2 2 4" xfId="4566" xr:uid="{1150A842-ABA4-45AC-A83E-4AC1D616D20B}"/>
    <cellStyle name="Įprastas 5 4 2 2 3 2 2 2_8 priedas" xfId="9745" xr:uid="{25B92CF0-2825-445B-A995-CDD114C9832C}"/>
    <cellStyle name="Įprastas 5 4 2 2 3 2 2 3" xfId="2837" xr:uid="{C79F6813-21BE-45FE-9EF7-6DF15737B97F}"/>
    <cellStyle name="Įprastas 5 4 2 2 3 2 2 3 2" xfId="5430" xr:uid="{6291089E-F1D2-493B-830A-7C98B4063474}"/>
    <cellStyle name="Įprastas 5 4 2 2 3 2 2 3_8 priedas" xfId="9746" xr:uid="{C9A946C4-004A-46D9-86E1-EDEDC0342FF5}"/>
    <cellStyle name="Įprastas 5 4 2 2 3 2 2 4" xfId="7158" xr:uid="{2C8696B2-0679-43E9-B18E-10027DC1102D}"/>
    <cellStyle name="Įprastas 5 4 2 2 3 2 2 5" xfId="3702" xr:uid="{72914A4E-5915-4140-97E1-E44769E0E03B}"/>
    <cellStyle name="Įprastas 5 4 2 2 3 2 2_8 priedas" xfId="9744" xr:uid="{3B366A9F-9696-4F71-AE23-F10672E282FB}"/>
    <cellStyle name="Įprastas 5 4 2 2 3 2 3" xfId="1929" xr:uid="{96222577-570C-48F1-83A5-83E7425A8013}"/>
    <cellStyle name="Įprastas 5 4 2 2 3 2 3 2" xfId="5953" xr:uid="{7AF8130C-578A-4F1A-9626-26A6EB0AF82C}"/>
    <cellStyle name="Įprastas 5 4 2 2 3 2 3 3" xfId="7681" xr:uid="{A274A387-8D97-4C4E-A168-E0A6462544A8}"/>
    <cellStyle name="Įprastas 5 4 2 2 3 2 3 4" xfId="4225" xr:uid="{086A88A8-63A7-4DD5-9836-A5536FB4B7AD}"/>
    <cellStyle name="Įprastas 5 4 2 2 3 2 3_8 priedas" xfId="9747" xr:uid="{DCAD4352-4D57-4BE2-9251-5D9F887A27B3}"/>
    <cellStyle name="Įprastas 5 4 2 2 3 2 4" xfId="2496" xr:uid="{95D05682-69D3-44A2-B5D0-822EA3EEFB1C}"/>
    <cellStyle name="Įprastas 5 4 2 2 3 2 4 2" xfId="5089" xr:uid="{E2D15CEE-4280-4C7F-A17C-BF1FB10AE6F6}"/>
    <cellStyle name="Įprastas 5 4 2 2 3 2 4_8 priedas" xfId="9748" xr:uid="{EE528777-ECA1-48E2-932A-74D1BE3A62F0}"/>
    <cellStyle name="Įprastas 5 4 2 2 3 2 5" xfId="6817" xr:uid="{5040C67B-BD5D-4B3B-8917-D519DFFCE8D8}"/>
    <cellStyle name="Įprastas 5 4 2 2 3 2 6" xfId="3361" xr:uid="{2B90E24B-1432-4822-9E30-2B2784816C10}"/>
    <cellStyle name="Įprastas 5 4 2 2 3 2_8 priedas" xfId="1191" xr:uid="{00000000-0005-0000-0000-000094030000}"/>
    <cellStyle name="Įprastas 5 4 2 2 3 3" xfId="333" xr:uid="{00000000-0005-0000-0000-000095030000}"/>
    <cellStyle name="Įprastas 5 4 2 2 3 3 2" xfId="833" xr:uid="{00000000-0005-0000-0000-000096030000}"/>
    <cellStyle name="Įprastas 5 4 2 2 3 3 2 2" xfId="1930" xr:uid="{E9884E3F-C34D-407C-B962-1473D7E6C9D3}"/>
    <cellStyle name="Įprastas 5 4 2 2 3 3 2 2 2" xfId="6438" xr:uid="{DA70F08D-4331-4C99-89A2-2EC1CD684C2E}"/>
    <cellStyle name="Įprastas 5 4 2 2 3 3 2 2 3" xfId="8166" xr:uid="{854B3953-FDC4-4104-8FDE-D52CEBD834AC}"/>
    <cellStyle name="Įprastas 5 4 2 2 3 3 2 2 4" xfId="4710" xr:uid="{5ECB1B27-A312-45BE-BC17-B390F6FA5EAF}"/>
    <cellStyle name="Įprastas 5 4 2 2 3 3 2 2_8 priedas" xfId="9750" xr:uid="{8CC74826-A3F2-4A1D-B978-51B4AC3B2314}"/>
    <cellStyle name="Įprastas 5 4 2 2 3 3 2 3" xfId="2981" xr:uid="{161B9DEA-8F35-4E3C-BA70-001C028E5368}"/>
    <cellStyle name="Įprastas 5 4 2 2 3 3 2 3 2" xfId="5574" xr:uid="{FB6CB316-DA28-40AD-B564-97D4A25272C2}"/>
    <cellStyle name="Įprastas 5 4 2 2 3 3 2 3_8 priedas" xfId="9751" xr:uid="{8B2541F2-88A6-4273-AED7-AFDAB4F1B8ED}"/>
    <cellStyle name="Įprastas 5 4 2 2 3 3 2 4" xfId="7302" xr:uid="{3BC47EDC-B053-432F-9A97-09050B9493D7}"/>
    <cellStyle name="Įprastas 5 4 2 2 3 3 2 5" xfId="3846" xr:uid="{02EB8614-31A3-4AC7-B175-CA0B87A783AB}"/>
    <cellStyle name="Įprastas 5 4 2 2 3 3 2_8 priedas" xfId="9749" xr:uid="{A41AABE2-17ED-448C-B3CB-AB831E5EB6E1}"/>
    <cellStyle name="Įprastas 5 4 2 2 3 3 3" xfId="1931" xr:uid="{CBA2D39D-D569-477F-8EBC-BB32D3BC9B12}"/>
    <cellStyle name="Įprastas 5 4 2 2 3 3 3 2" xfId="5954" xr:uid="{9E6B79D8-9999-4A7F-A057-84E3EF506DD1}"/>
    <cellStyle name="Įprastas 5 4 2 2 3 3 3 3" xfId="7682" xr:uid="{2E7E3435-FEDE-4BE8-9718-9338F696C2DA}"/>
    <cellStyle name="Įprastas 5 4 2 2 3 3 3 4" xfId="4226" xr:uid="{A3647DD6-DE75-4BD8-96F0-6576084913A7}"/>
    <cellStyle name="Įprastas 5 4 2 2 3 3 3_8 priedas" xfId="9752" xr:uid="{422C25C2-58DF-4481-9802-F16EA39530CB}"/>
    <cellStyle name="Įprastas 5 4 2 2 3 3 4" xfId="2497" xr:uid="{5FD1F962-259B-4E6F-9075-5DBC4CDCBB4D}"/>
    <cellStyle name="Įprastas 5 4 2 2 3 3 4 2" xfId="5090" xr:uid="{88882384-84A1-4B9B-AB26-797064EA6B20}"/>
    <cellStyle name="Įprastas 5 4 2 2 3 3 4_8 priedas" xfId="9753" xr:uid="{F8342131-1D31-4288-A9CA-9B4F4B3612B3}"/>
    <cellStyle name="Įprastas 5 4 2 2 3 3 5" xfId="6818" xr:uid="{28E254E1-995A-4B0A-825D-AD0DA2AEA3EC}"/>
    <cellStyle name="Įprastas 5 4 2 2 3 3 6" xfId="3362" xr:uid="{026E9E7F-03CA-44D0-9F8A-0D4B83D58CA6}"/>
    <cellStyle name="Įprastas 5 4 2 2 3 3_8 priedas" xfId="1056" xr:uid="{00000000-0005-0000-0000-000097030000}"/>
    <cellStyle name="Įprastas 5 4 2 2 3 4" xfId="545" xr:uid="{00000000-0005-0000-0000-000098030000}"/>
    <cellStyle name="Įprastas 5 4 2 2 3 4 2" xfId="1932" xr:uid="{1B7B0F17-E1BB-4BFA-8891-B69208F877CD}"/>
    <cellStyle name="Įprastas 5 4 2 2 3 4 2 2" xfId="6150" xr:uid="{16059E32-DACC-4F2A-A9B2-EAD635CE12A4}"/>
    <cellStyle name="Įprastas 5 4 2 2 3 4 2 3" xfId="7878" xr:uid="{413212B5-AFD3-435F-9AF2-85F0C1DFCC53}"/>
    <cellStyle name="Įprastas 5 4 2 2 3 4 2 4" xfId="4422" xr:uid="{5F62520D-55DD-41E4-840E-E9994E13B811}"/>
    <cellStyle name="Įprastas 5 4 2 2 3 4 2_8 priedas" xfId="9755" xr:uid="{F1359092-0224-4E1F-955D-1875A5A8E1E8}"/>
    <cellStyle name="Įprastas 5 4 2 2 3 4 3" xfId="2693" xr:uid="{D107F8FF-4A71-4703-9AB3-602B93F7C8BF}"/>
    <cellStyle name="Įprastas 5 4 2 2 3 4 3 2" xfId="5286" xr:uid="{A4772531-8A8D-445D-8944-5A5EAC8B3E9D}"/>
    <cellStyle name="Įprastas 5 4 2 2 3 4 3_8 priedas" xfId="9756" xr:uid="{70990670-3F32-4D88-98A7-B38AEB153C0B}"/>
    <cellStyle name="Įprastas 5 4 2 2 3 4 4" xfId="7014" xr:uid="{35AC1CB2-1CD7-44D4-A51E-0848DE614E95}"/>
    <cellStyle name="Įprastas 5 4 2 2 3 4 5" xfId="3558" xr:uid="{E91991C9-4ADE-457C-9A01-E9382A4364E1}"/>
    <cellStyle name="Įprastas 5 4 2 2 3 4_8 priedas" xfId="9754" xr:uid="{BFDA7B33-3F18-4170-8725-24066B1FFE3B}"/>
    <cellStyle name="Įprastas 5 4 2 2 3 5" xfId="1933" xr:uid="{DB4CD3DA-A082-4E35-B126-6429152545DE}"/>
    <cellStyle name="Įprastas 5 4 2 2 3 5 2" xfId="5952" xr:uid="{74040C9A-8784-4534-9BE9-092004C788A8}"/>
    <cellStyle name="Įprastas 5 4 2 2 3 5 3" xfId="7680" xr:uid="{7ECF5E28-296B-483C-ABC0-40CFB57A62FF}"/>
    <cellStyle name="Įprastas 5 4 2 2 3 5 4" xfId="4224" xr:uid="{063C1DFB-BEE0-4238-AB2F-7227BDB78A9C}"/>
    <cellStyle name="Įprastas 5 4 2 2 3 5_8 priedas" xfId="9757" xr:uid="{5CE64FD3-1DE9-40D3-995F-03D6F35257BF}"/>
    <cellStyle name="Įprastas 5 4 2 2 3 6" xfId="2495" xr:uid="{BB1FEC73-CAEF-4919-BA8F-0535BF260C73}"/>
    <cellStyle name="Įprastas 5 4 2 2 3 6 2" xfId="5088" xr:uid="{CABB881C-2277-4CD2-B56B-6507CD91449F}"/>
    <cellStyle name="Įprastas 5 4 2 2 3 6_8 priedas" xfId="9758" xr:uid="{EF873882-E711-4A3B-A065-DB905678D97A}"/>
    <cellStyle name="Įprastas 5 4 2 2 3 7" xfId="6816" xr:uid="{5775B4A0-D2E5-48E3-833D-433265D0213C}"/>
    <cellStyle name="Įprastas 5 4 2 2 3 8" xfId="3360" xr:uid="{4BD504C2-C8DF-4F8B-8A5C-84FF18D46220}"/>
    <cellStyle name="Įprastas 5 4 2 2 3_8 priedas" xfId="920" xr:uid="{00000000-0005-0000-0000-000099030000}"/>
    <cellStyle name="Įprastas 5 4 2 2 4" xfId="334" xr:uid="{00000000-0005-0000-0000-00009A030000}"/>
    <cellStyle name="Įprastas 5 4 2 2 4 2" xfId="335" xr:uid="{00000000-0005-0000-0000-00009B030000}"/>
    <cellStyle name="Įprastas 5 4 2 2 4 2 2" xfId="737" xr:uid="{00000000-0005-0000-0000-00009C030000}"/>
    <cellStyle name="Įprastas 5 4 2 2 4 2 2 2" xfId="1934" xr:uid="{FA525142-56CB-47B4-A726-2125247F5959}"/>
    <cellStyle name="Įprastas 5 4 2 2 4 2 2 2 2" xfId="6342" xr:uid="{7E31CEA9-4CC4-4BA4-96F3-83212052633B}"/>
    <cellStyle name="Įprastas 5 4 2 2 4 2 2 2 3" xfId="8070" xr:uid="{B21F29F6-C900-4BD2-9D5A-0A6A75BB77BB}"/>
    <cellStyle name="Įprastas 5 4 2 2 4 2 2 2 4" xfId="4614" xr:uid="{0D88E122-C1C7-47A3-A7EA-21D5873C802C}"/>
    <cellStyle name="Įprastas 5 4 2 2 4 2 2 2_8 priedas" xfId="9760" xr:uid="{6157D85B-5765-4882-8C89-BFE64595CA03}"/>
    <cellStyle name="Įprastas 5 4 2 2 4 2 2 3" xfId="2885" xr:uid="{74ABC868-2171-42FB-B060-90D53D5630FB}"/>
    <cellStyle name="Įprastas 5 4 2 2 4 2 2 3 2" xfId="5478" xr:uid="{98BD271C-E6DA-4BEA-8437-33B260B36F0E}"/>
    <cellStyle name="Įprastas 5 4 2 2 4 2 2 3_8 priedas" xfId="9761" xr:uid="{6618583B-5C06-46A2-B7F3-3437EA5A81C9}"/>
    <cellStyle name="Įprastas 5 4 2 2 4 2 2 4" xfId="7206" xr:uid="{664DA5B3-75D4-45F1-AE5D-14E0B1176496}"/>
    <cellStyle name="Įprastas 5 4 2 2 4 2 2 5" xfId="3750" xr:uid="{43B8013B-0794-4CE9-B0C1-D50B1399FF4F}"/>
    <cellStyle name="Įprastas 5 4 2 2 4 2 2_8 priedas" xfId="9759" xr:uid="{51A0F6CE-521D-42E1-824C-26456E525637}"/>
    <cellStyle name="Įprastas 5 4 2 2 4 2 3" xfId="1935" xr:uid="{6F10323D-9561-4C31-A215-7E4FA4EE82EC}"/>
    <cellStyle name="Įprastas 5 4 2 2 4 2 3 2" xfId="5956" xr:uid="{BC7C5AC3-2E89-4D6A-BEE4-00AE196211CC}"/>
    <cellStyle name="Įprastas 5 4 2 2 4 2 3 3" xfId="7684" xr:uid="{3BD0E479-4E21-4638-95AA-9B75822A0EC1}"/>
    <cellStyle name="Įprastas 5 4 2 2 4 2 3 4" xfId="4228" xr:uid="{BFF32A9A-1805-4815-B9D3-75E9620D0F78}"/>
    <cellStyle name="Įprastas 5 4 2 2 4 2 3_8 priedas" xfId="9762" xr:uid="{6E4B81EC-A983-4E5E-933A-312A5283D656}"/>
    <cellStyle name="Įprastas 5 4 2 2 4 2 4" xfId="2499" xr:uid="{4039EC2B-53A2-4EE9-AACC-17AE047799BD}"/>
    <cellStyle name="Įprastas 5 4 2 2 4 2 4 2" xfId="5092" xr:uid="{C6EF52E9-2A7B-4000-8EEC-F1F92ACF8925}"/>
    <cellStyle name="Įprastas 5 4 2 2 4 2 4_8 priedas" xfId="9763" xr:uid="{393C1F2F-1F09-43A0-AAA9-F8563FD9E0DD}"/>
    <cellStyle name="Įprastas 5 4 2 2 4 2 5" xfId="6820" xr:uid="{8981253C-3017-42E2-926F-19C8765117C5}"/>
    <cellStyle name="Įprastas 5 4 2 2 4 2 6" xfId="3364" xr:uid="{61190695-EC30-4680-8A0D-6DFB44121CA2}"/>
    <cellStyle name="Įprastas 5 4 2 2 4 2_8 priedas" xfId="1145" xr:uid="{00000000-0005-0000-0000-00009D030000}"/>
    <cellStyle name="Įprastas 5 4 2 2 4 3" xfId="336" xr:uid="{00000000-0005-0000-0000-00009E030000}"/>
    <cellStyle name="Įprastas 5 4 2 2 4 3 2" xfId="881" xr:uid="{00000000-0005-0000-0000-00009F030000}"/>
    <cellStyle name="Įprastas 5 4 2 2 4 3 2 2" xfId="1936" xr:uid="{0E69DABA-E842-4BB6-B6F6-F249163D38A2}"/>
    <cellStyle name="Įprastas 5 4 2 2 4 3 2 2 2" xfId="6486" xr:uid="{9D53D1C7-D37A-416B-9F78-9476B71724CC}"/>
    <cellStyle name="Įprastas 5 4 2 2 4 3 2 2 3" xfId="8214" xr:uid="{37D3AC3B-1559-401D-97AF-44A0A32FA55C}"/>
    <cellStyle name="Įprastas 5 4 2 2 4 3 2 2 4" xfId="4758" xr:uid="{5E006574-8B81-42B2-8B67-DEB67005EC07}"/>
    <cellStyle name="Įprastas 5 4 2 2 4 3 2 2_8 priedas" xfId="9765" xr:uid="{AA0B9D43-D7BA-476F-BB5F-00339FE6751E}"/>
    <cellStyle name="Įprastas 5 4 2 2 4 3 2 3" xfId="3029" xr:uid="{40A0482F-E97F-493C-BBE9-C5F302E7F267}"/>
    <cellStyle name="Įprastas 5 4 2 2 4 3 2 3 2" xfId="5622" xr:uid="{13C4C3BF-ED16-4AA3-95D7-461DD03957AF}"/>
    <cellStyle name="Įprastas 5 4 2 2 4 3 2 3_8 priedas" xfId="9766" xr:uid="{A45AE58C-7FE7-473C-A752-6357083AF615}"/>
    <cellStyle name="Įprastas 5 4 2 2 4 3 2 4" xfId="7350" xr:uid="{64883A2E-0151-4C4F-8FF9-6E6F71F69B2B}"/>
    <cellStyle name="Įprastas 5 4 2 2 4 3 2 5" xfId="3894" xr:uid="{FAD86F8D-7D2E-4712-8650-DA267AF55D1C}"/>
    <cellStyle name="Įprastas 5 4 2 2 4 3 2_8 priedas" xfId="9764" xr:uid="{A026B512-150C-461F-8420-00C92E0A8539}"/>
    <cellStyle name="Įprastas 5 4 2 2 4 3 3" xfId="1937" xr:uid="{BDDD89B4-008F-4E98-8D00-2812D475FDAD}"/>
    <cellStyle name="Įprastas 5 4 2 2 4 3 3 2" xfId="5957" xr:uid="{848AAC2C-4CA9-45EB-B0E3-3C03255C9366}"/>
    <cellStyle name="Įprastas 5 4 2 2 4 3 3 3" xfId="7685" xr:uid="{F4B340A1-2811-4D4A-AE4C-EA9C3D860123}"/>
    <cellStyle name="Įprastas 5 4 2 2 4 3 3 4" xfId="4229" xr:uid="{27E482EA-3AE0-41FB-BF30-ADB0D3C2FE10}"/>
    <cellStyle name="Įprastas 5 4 2 2 4 3 3_8 priedas" xfId="9767" xr:uid="{CF64A575-568C-4AA8-B46C-891603921013}"/>
    <cellStyle name="Įprastas 5 4 2 2 4 3 4" xfId="2500" xr:uid="{65A1C5F1-F5AB-4317-9F68-366F9B0CE896}"/>
    <cellStyle name="Įprastas 5 4 2 2 4 3 4 2" xfId="5093" xr:uid="{302DB879-5DE1-47B3-8F9D-78365A383BC0}"/>
    <cellStyle name="Įprastas 5 4 2 2 4 3 4_8 priedas" xfId="9768" xr:uid="{2C70E228-97D1-401C-97F7-79060A9447FA}"/>
    <cellStyle name="Įprastas 5 4 2 2 4 3 5" xfId="6821" xr:uid="{3B575192-C3DC-45C1-BD3F-E2912E16F4A4}"/>
    <cellStyle name="Įprastas 5 4 2 2 4 3 6" xfId="3365" xr:uid="{6CE28BC8-E4EF-44C5-B862-8D1D2F766613}"/>
    <cellStyle name="Įprastas 5 4 2 2 4 3_8 priedas" xfId="1009" xr:uid="{00000000-0005-0000-0000-0000A0030000}"/>
    <cellStyle name="Įprastas 5 4 2 2 4 4" xfId="593" xr:uid="{00000000-0005-0000-0000-0000A1030000}"/>
    <cellStyle name="Įprastas 5 4 2 2 4 4 2" xfId="1938" xr:uid="{3393DCA2-CA1D-440D-86C0-0CD48DCCC61F}"/>
    <cellStyle name="Įprastas 5 4 2 2 4 4 2 2" xfId="6198" xr:uid="{DBAD7DDC-B6B6-4755-A5A0-0E20FEB23AFC}"/>
    <cellStyle name="Įprastas 5 4 2 2 4 4 2 3" xfId="7926" xr:uid="{2D917E14-1C32-4B72-82AE-EAD1B7277526}"/>
    <cellStyle name="Įprastas 5 4 2 2 4 4 2 4" xfId="4470" xr:uid="{05A4FABD-6D36-4D42-8EC6-106623655765}"/>
    <cellStyle name="Įprastas 5 4 2 2 4 4 2_8 priedas" xfId="9770" xr:uid="{B80E2D68-BA04-4395-88CB-C5A1CAF1ED39}"/>
    <cellStyle name="Įprastas 5 4 2 2 4 4 3" xfId="2741" xr:uid="{A5FDA1E7-4C4A-4D12-8F27-DB47C910F4A4}"/>
    <cellStyle name="Įprastas 5 4 2 2 4 4 3 2" xfId="5334" xr:uid="{8B9A5B13-58A8-4F4F-AA54-EA1ADC876B7D}"/>
    <cellStyle name="Įprastas 5 4 2 2 4 4 3_8 priedas" xfId="9771" xr:uid="{FFB18BAE-4C42-4750-86CB-0FA7510F8E36}"/>
    <cellStyle name="Įprastas 5 4 2 2 4 4 4" xfId="7062" xr:uid="{575E41EF-044C-47A1-A58D-AFED0C60E39B}"/>
    <cellStyle name="Įprastas 5 4 2 2 4 4 5" xfId="3606" xr:uid="{F7DC1DD9-3D03-4B05-BC8D-2DD1A614D01B}"/>
    <cellStyle name="Įprastas 5 4 2 2 4 4_8 priedas" xfId="9769" xr:uid="{32B721FB-EBFD-47F6-B06B-2203DEA00A61}"/>
    <cellStyle name="Įprastas 5 4 2 2 4 5" xfId="1939" xr:uid="{605E067F-5001-456E-9D3E-10AD1032F0EB}"/>
    <cellStyle name="Įprastas 5 4 2 2 4 5 2" xfId="5955" xr:uid="{C3F2B894-05B1-48EA-B136-C9C29A89DE57}"/>
    <cellStyle name="Įprastas 5 4 2 2 4 5 3" xfId="7683" xr:uid="{B73B5C76-4582-4FF8-89F9-36788B187131}"/>
    <cellStyle name="Įprastas 5 4 2 2 4 5 4" xfId="4227" xr:uid="{FC145D77-8391-460C-97D0-B8A78CAFF12A}"/>
    <cellStyle name="Įprastas 5 4 2 2 4 5_8 priedas" xfId="9772" xr:uid="{968FCC3C-7669-46BC-936F-931DBC3D1276}"/>
    <cellStyle name="Įprastas 5 4 2 2 4 6" xfId="2498" xr:uid="{3CC1E1CF-0DCD-4372-BAE6-A02882CEE932}"/>
    <cellStyle name="Įprastas 5 4 2 2 4 6 2" xfId="5091" xr:uid="{3BCA001C-3B19-4310-ADD5-0ACF034D8A72}"/>
    <cellStyle name="Įprastas 5 4 2 2 4 6_8 priedas" xfId="9773" xr:uid="{2A2B7A55-6FDA-47E4-9386-85B44EF9965B}"/>
    <cellStyle name="Įprastas 5 4 2 2 4 7" xfId="6819" xr:uid="{8322588B-EC0B-42C0-B9DF-BC977EF2162D}"/>
    <cellStyle name="Įprastas 5 4 2 2 4 8" xfId="3363" xr:uid="{8C23965D-E769-4F60-B627-EE39FCCD82CF}"/>
    <cellStyle name="Įprastas 5 4 2 2 4_8 priedas" xfId="1281" xr:uid="{00000000-0005-0000-0000-0000A2030000}"/>
    <cellStyle name="Įprastas 5 4 2 2 5" xfId="337" xr:uid="{00000000-0005-0000-0000-0000A3030000}"/>
    <cellStyle name="Įprastas 5 4 2 2 5 2" xfId="641" xr:uid="{00000000-0005-0000-0000-0000A4030000}"/>
    <cellStyle name="Įprastas 5 4 2 2 5 2 2" xfId="1940" xr:uid="{FE63DB16-FA78-45F9-8163-17FA1ACAF30A}"/>
    <cellStyle name="Įprastas 5 4 2 2 5 2 2 2" xfId="6246" xr:uid="{F9844B7A-5109-42F2-82E3-35C98C7B307E}"/>
    <cellStyle name="Įprastas 5 4 2 2 5 2 2 3" xfId="7974" xr:uid="{69A669D4-538B-4760-AE2D-B8B3FA09DBB2}"/>
    <cellStyle name="Įprastas 5 4 2 2 5 2 2 4" xfId="4518" xr:uid="{8C556DBA-8E01-4DD8-8E16-E4088CFEBD17}"/>
    <cellStyle name="Įprastas 5 4 2 2 5 2 2_8 priedas" xfId="9775" xr:uid="{934F4C62-EEF3-4C5B-81D0-05E4ED85A5C6}"/>
    <cellStyle name="Įprastas 5 4 2 2 5 2 3" xfId="2789" xr:uid="{26A5462B-243B-470A-B205-E674424E7F74}"/>
    <cellStyle name="Įprastas 5 4 2 2 5 2 3 2" xfId="5382" xr:uid="{1DEC9AEE-3521-4BA9-811B-8970B9F94387}"/>
    <cellStyle name="Įprastas 5 4 2 2 5 2 3_8 priedas" xfId="9776" xr:uid="{3A894F54-9F68-4FE3-A0F4-25E707E8CE38}"/>
    <cellStyle name="Įprastas 5 4 2 2 5 2 4" xfId="7110" xr:uid="{AEE71BB6-D455-47D7-B7BB-287539DB0806}"/>
    <cellStyle name="Įprastas 5 4 2 2 5 2 5" xfId="3654" xr:uid="{CCABB902-4275-4846-8E37-9CD90077303E}"/>
    <cellStyle name="Įprastas 5 4 2 2 5 2_8 priedas" xfId="9774" xr:uid="{B464851F-8461-453E-8CA8-04FC38C940E8}"/>
    <cellStyle name="Įprastas 5 4 2 2 5 3" xfId="1941" xr:uid="{65D5DBF8-6C85-44E1-BA57-3B03FC2A2E31}"/>
    <cellStyle name="Įprastas 5 4 2 2 5 3 2" xfId="5958" xr:uid="{C94E414C-6414-46B3-BC7A-3187FBF4954B}"/>
    <cellStyle name="Įprastas 5 4 2 2 5 3 3" xfId="7686" xr:uid="{51554EB7-0057-4FD6-9008-923894C36D93}"/>
    <cellStyle name="Įprastas 5 4 2 2 5 3 4" xfId="4230" xr:uid="{849EA90E-C216-4FF3-BF66-D87DF2652408}"/>
    <cellStyle name="Įprastas 5 4 2 2 5 3_8 priedas" xfId="9777" xr:uid="{2614F82D-B8CA-46A6-91EC-9B7C78F8BF7E}"/>
    <cellStyle name="Įprastas 5 4 2 2 5 4" xfId="2501" xr:uid="{F2BB4CA8-8871-4BAF-8FFC-565A3F80C27E}"/>
    <cellStyle name="Įprastas 5 4 2 2 5 4 2" xfId="5094" xr:uid="{9404A0E3-126F-4BC2-83BE-237C25321E2E}"/>
    <cellStyle name="Įprastas 5 4 2 2 5 4_8 priedas" xfId="9778" xr:uid="{B678FB6F-9FDF-4220-AE8E-B88EE02B1FCD}"/>
    <cellStyle name="Įprastas 5 4 2 2 5 5" xfId="6822" xr:uid="{DE7EC4B4-1F3B-44FB-B5E1-0682CFF98BF4}"/>
    <cellStyle name="Įprastas 5 4 2 2 5 6" xfId="3366" xr:uid="{659C5B5D-5CA0-462A-BA3D-A6920A37B24D}"/>
    <cellStyle name="Įprastas 5 4 2 2 5_8 priedas" xfId="1235" xr:uid="{00000000-0005-0000-0000-0000A5030000}"/>
    <cellStyle name="Įprastas 5 4 2 2 6" xfId="338" xr:uid="{00000000-0005-0000-0000-0000A6030000}"/>
    <cellStyle name="Įprastas 5 4 2 2 6 2" xfId="785" xr:uid="{00000000-0005-0000-0000-0000A7030000}"/>
    <cellStyle name="Įprastas 5 4 2 2 6 2 2" xfId="1942" xr:uid="{7E466951-68AB-48F2-8FD2-A6D05062DA65}"/>
    <cellStyle name="Įprastas 5 4 2 2 6 2 2 2" xfId="6390" xr:uid="{7E8112AC-B269-4758-BE95-8C82FA0D63D4}"/>
    <cellStyle name="Įprastas 5 4 2 2 6 2 2 3" xfId="8118" xr:uid="{387E86F5-0582-4DB4-AE42-DA4354D6CB96}"/>
    <cellStyle name="Įprastas 5 4 2 2 6 2 2 4" xfId="4662" xr:uid="{85ABBC59-A682-480B-BD30-12542D118760}"/>
    <cellStyle name="Įprastas 5 4 2 2 6 2 2_8 priedas" xfId="9780" xr:uid="{046D9EF2-7735-4D97-B1F1-CD53BD5CA07D}"/>
    <cellStyle name="Įprastas 5 4 2 2 6 2 3" xfId="2933" xr:uid="{3F69A034-6B68-41F8-B3BA-33B64C50B783}"/>
    <cellStyle name="Įprastas 5 4 2 2 6 2 3 2" xfId="5526" xr:uid="{4FC35B75-43B6-4D5C-94CE-A07D6E853B88}"/>
    <cellStyle name="Įprastas 5 4 2 2 6 2 3_8 priedas" xfId="9781" xr:uid="{CEFF6FDE-6149-4F35-850D-E019747019E3}"/>
    <cellStyle name="Įprastas 5 4 2 2 6 2 4" xfId="7254" xr:uid="{848A37DF-8328-4C00-BD24-577FEF7A3393}"/>
    <cellStyle name="Įprastas 5 4 2 2 6 2 5" xfId="3798" xr:uid="{8DB38C7F-3944-42FB-B475-D158FF90CC4E}"/>
    <cellStyle name="Įprastas 5 4 2 2 6 2_8 priedas" xfId="9779" xr:uid="{C121BE8B-F8A3-45FB-89EE-54010872BB74}"/>
    <cellStyle name="Įprastas 5 4 2 2 6 3" xfId="1943" xr:uid="{BC9BBC4D-0F22-4370-8E3B-1E7358A4CF5C}"/>
    <cellStyle name="Įprastas 5 4 2 2 6 3 2" xfId="5959" xr:uid="{8AFC7768-E80D-449F-AA1C-A04356B44822}"/>
    <cellStyle name="Įprastas 5 4 2 2 6 3 3" xfId="7687" xr:uid="{B91D3820-7F21-4BF1-B2B9-8FD64FFCD2F9}"/>
    <cellStyle name="Įprastas 5 4 2 2 6 3 4" xfId="4231" xr:uid="{A156E316-32FA-4A1F-B8C8-3A21C2044D87}"/>
    <cellStyle name="Įprastas 5 4 2 2 6 3_8 priedas" xfId="9782" xr:uid="{9C28A059-6514-46E3-B13D-35C020F09224}"/>
    <cellStyle name="Įprastas 5 4 2 2 6 4" xfId="2502" xr:uid="{BBA01659-847A-4717-A0CE-A9FDF232F34F}"/>
    <cellStyle name="Įprastas 5 4 2 2 6 4 2" xfId="5095" xr:uid="{C099B2B5-9051-42E6-97BD-72FFBBAF44B9}"/>
    <cellStyle name="Įprastas 5 4 2 2 6 4_8 priedas" xfId="9783" xr:uid="{3463885D-7F01-4BE1-8ABD-D4EAD0F2F62C}"/>
    <cellStyle name="Įprastas 5 4 2 2 6 5" xfId="6823" xr:uid="{3167C4EF-F527-41D4-9E6A-E1B7FC7D746F}"/>
    <cellStyle name="Įprastas 5 4 2 2 6 6" xfId="3367" xr:uid="{9843D311-9161-4238-8C71-81FA0B2CD758}"/>
    <cellStyle name="Įprastas 5 4 2 2 6_8 priedas" xfId="1105" xr:uid="{00000000-0005-0000-0000-0000A8030000}"/>
    <cellStyle name="Įprastas 5 4 2 2 7" xfId="497" xr:uid="{00000000-0005-0000-0000-0000A9030000}"/>
    <cellStyle name="Įprastas 5 4 2 2 7 2" xfId="1944" xr:uid="{75816328-47F3-4570-88E3-096D5B67744C}"/>
    <cellStyle name="Įprastas 5 4 2 2 7 2 2" xfId="6102" xr:uid="{E1A2C692-DA19-4023-8EAF-C0DC86764F47}"/>
    <cellStyle name="Įprastas 5 4 2 2 7 2 3" xfId="7830" xr:uid="{A84EB8D6-2E49-47A0-8DED-7A9A06B00127}"/>
    <cellStyle name="Įprastas 5 4 2 2 7 2 4" xfId="4374" xr:uid="{0D264C5A-85B4-4BD6-9523-57EB876E1F6D}"/>
    <cellStyle name="Įprastas 5 4 2 2 7 2_8 priedas" xfId="9785" xr:uid="{C0761A2D-C709-47AD-BAF6-CD356DF5E87D}"/>
    <cellStyle name="Įprastas 5 4 2 2 7 3" xfId="2645" xr:uid="{2945DF0D-8F40-4335-B167-24D1D14B2326}"/>
    <cellStyle name="Įprastas 5 4 2 2 7 3 2" xfId="5238" xr:uid="{AA2697FC-2FF6-4656-B31D-63C3A39B20AC}"/>
    <cellStyle name="Įprastas 5 4 2 2 7 3_8 priedas" xfId="9786" xr:uid="{F5D14566-A0B7-47F8-9981-7D59C781DCCF}"/>
    <cellStyle name="Įprastas 5 4 2 2 7 4" xfId="6966" xr:uid="{036A0E65-8FE1-4E3A-9736-1DE6AB2B3B71}"/>
    <cellStyle name="Įprastas 5 4 2 2 7 5" xfId="3510" xr:uid="{CB11812C-CD74-4B70-9B21-9736D53F71C4}"/>
    <cellStyle name="Įprastas 5 4 2 2 7_8 priedas" xfId="9784" xr:uid="{484DCDD9-487B-4F1A-99A5-47F1E7E043CB}"/>
    <cellStyle name="Įprastas 5 4 2 2 8" xfId="1945" xr:uid="{87EA4619-4A11-43BB-8A8E-EEAFEC73C2BD}"/>
    <cellStyle name="Įprastas 5 4 2 2 8 2" xfId="5942" xr:uid="{B42B8DFD-AE8F-4BF8-954D-A16E2C857B83}"/>
    <cellStyle name="Įprastas 5 4 2 2 8 3" xfId="7670" xr:uid="{D1E034C4-055D-47A7-A4EC-5DF278427815}"/>
    <cellStyle name="Įprastas 5 4 2 2 8 4" xfId="4214" xr:uid="{FA81FE18-D3D1-42FA-9BAA-765DCB66CFF2}"/>
    <cellStyle name="Įprastas 5 4 2 2 8_8 priedas" xfId="9787" xr:uid="{647D4260-700D-4ECC-9480-2E7C68F59DD1}"/>
    <cellStyle name="Įprastas 5 4 2 2 9" xfId="2485" xr:uid="{FA525A51-602A-46FE-861E-5B41D739C222}"/>
    <cellStyle name="Įprastas 5 4 2 2 9 2" xfId="5078" xr:uid="{DFC600FD-6CB9-4A4E-AB7B-678586D0A693}"/>
    <cellStyle name="Įprastas 5 4 2 2 9_8 priedas" xfId="9788" xr:uid="{94900E9F-D3DB-46E5-9735-8AF98D9AD805}"/>
    <cellStyle name="Įprastas 5 4 2 2_8 priedas" xfId="1098" xr:uid="{00000000-0005-0000-0000-0000AA030000}"/>
    <cellStyle name="Įprastas 5 4 2 3" xfId="339" xr:uid="{00000000-0005-0000-0000-0000AB030000}"/>
    <cellStyle name="Įprastas 5 4 2 3 10" xfId="3368" xr:uid="{67B50F86-624C-43DC-8A44-E9AEE30943CF}"/>
    <cellStyle name="Įprastas 5 4 2 3 2" xfId="340" xr:uid="{00000000-0005-0000-0000-0000AC030000}"/>
    <cellStyle name="Įprastas 5 4 2 3 2 2" xfId="341" xr:uid="{00000000-0005-0000-0000-0000AD030000}"/>
    <cellStyle name="Įprastas 5 4 2 3 2 2 2" xfId="701" xr:uid="{00000000-0005-0000-0000-0000AE030000}"/>
    <cellStyle name="Įprastas 5 4 2 3 2 2 2 2" xfId="1946" xr:uid="{D50ED631-4721-453D-ABBC-DDC32D260299}"/>
    <cellStyle name="Įprastas 5 4 2 3 2 2 2 2 2" xfId="6306" xr:uid="{E9DD0583-928F-4CF1-9182-F247C94E5E9A}"/>
    <cellStyle name="Įprastas 5 4 2 3 2 2 2 2 3" xfId="8034" xr:uid="{49FC7CE5-3D14-4169-8F33-669BB142E396}"/>
    <cellStyle name="Įprastas 5 4 2 3 2 2 2 2 4" xfId="4578" xr:uid="{E7C2A497-D72C-4BFA-804C-89DD15B987EE}"/>
    <cellStyle name="Įprastas 5 4 2 3 2 2 2 2_8 priedas" xfId="9790" xr:uid="{F8DA25A1-7729-4C6A-BD63-1AB83C11EFC3}"/>
    <cellStyle name="Įprastas 5 4 2 3 2 2 2 3" xfId="2849" xr:uid="{CBF54779-03CD-4282-A716-1BDA8EC734BD}"/>
    <cellStyle name="Įprastas 5 4 2 3 2 2 2 3 2" xfId="5442" xr:uid="{F3072218-EDF8-4D8F-A170-E785D3AA263E}"/>
    <cellStyle name="Įprastas 5 4 2 3 2 2 2 3_8 priedas" xfId="9791" xr:uid="{3CCA31B1-C718-4B71-8DE0-6AF716530886}"/>
    <cellStyle name="Įprastas 5 4 2 3 2 2 2 4" xfId="7170" xr:uid="{8E4FAE3C-F2E5-4550-B288-8CDCB4827957}"/>
    <cellStyle name="Įprastas 5 4 2 3 2 2 2 5" xfId="3714" xr:uid="{EAAC6BB6-066E-4198-9356-496338359D9A}"/>
    <cellStyle name="Įprastas 5 4 2 3 2 2 2_8 priedas" xfId="9789" xr:uid="{14288A8C-F79C-4BFB-B9E6-11F349DB9051}"/>
    <cellStyle name="Įprastas 5 4 2 3 2 2 3" xfId="1947" xr:uid="{1242F9E4-3A8D-4014-8197-0A6001B91532}"/>
    <cellStyle name="Įprastas 5 4 2 3 2 2 3 2" xfId="5962" xr:uid="{F9902BC5-028E-4E4F-810F-844B96517D8E}"/>
    <cellStyle name="Įprastas 5 4 2 3 2 2 3 3" xfId="7690" xr:uid="{228E875B-70EB-4597-BA85-CA63AC836174}"/>
    <cellStyle name="Įprastas 5 4 2 3 2 2 3 4" xfId="4234" xr:uid="{2C068FA9-F448-44A9-BB73-E231349804FF}"/>
    <cellStyle name="Įprastas 5 4 2 3 2 2 3_8 priedas" xfId="9792" xr:uid="{F7759526-3901-4954-B55D-089F208C9C1D}"/>
    <cellStyle name="Įprastas 5 4 2 3 2 2 4" xfId="2505" xr:uid="{7873C49F-1E43-4F3C-88EC-EC9699C3F6E9}"/>
    <cellStyle name="Įprastas 5 4 2 3 2 2 4 2" xfId="5098" xr:uid="{D6537433-66D9-4923-BE3A-2275270B414D}"/>
    <cellStyle name="Įprastas 5 4 2 3 2 2 4_8 priedas" xfId="9793" xr:uid="{5B01AC57-B32E-4311-B66B-07B3F2BC40BC}"/>
    <cellStyle name="Įprastas 5 4 2 3 2 2 5" xfId="6826" xr:uid="{E0789A86-890A-4BCA-8132-A6736B266FF4}"/>
    <cellStyle name="Įprastas 5 4 2 3 2 2 6" xfId="3370" xr:uid="{8AB0090A-A72C-4A4D-B405-D66E36E7F1BB}"/>
    <cellStyle name="Įprastas 5 4 2 3 2 2_8 priedas" xfId="1082" xr:uid="{00000000-0005-0000-0000-0000AF030000}"/>
    <cellStyle name="Įprastas 5 4 2 3 2 3" xfId="342" xr:uid="{00000000-0005-0000-0000-0000B0030000}"/>
    <cellStyle name="Įprastas 5 4 2 3 2 3 2" xfId="845" xr:uid="{00000000-0005-0000-0000-0000B1030000}"/>
    <cellStyle name="Įprastas 5 4 2 3 2 3 2 2" xfId="1948" xr:uid="{27A42B52-DE39-492F-B6E6-E00CC8479652}"/>
    <cellStyle name="Įprastas 5 4 2 3 2 3 2 2 2" xfId="6450" xr:uid="{A361C33E-A58F-403C-AB49-E134B0C7EF19}"/>
    <cellStyle name="Įprastas 5 4 2 3 2 3 2 2 3" xfId="8178" xr:uid="{BC1A466E-8D8E-4CF9-8AA5-CE53FAC7B84C}"/>
    <cellStyle name="Įprastas 5 4 2 3 2 3 2 2 4" xfId="4722" xr:uid="{DD770F45-E115-4D6F-A31C-1679A9EB7712}"/>
    <cellStyle name="Įprastas 5 4 2 3 2 3 2 2_8 priedas" xfId="9795" xr:uid="{6313148D-A1CB-41F9-BF38-6D7D794E3BDC}"/>
    <cellStyle name="Įprastas 5 4 2 3 2 3 2 3" xfId="2993" xr:uid="{FCBD11B5-0B02-47CD-B245-B1EE4997FCB1}"/>
    <cellStyle name="Įprastas 5 4 2 3 2 3 2 3 2" xfId="5586" xr:uid="{DFC8D561-C880-48C7-ADE2-2DD656F671C6}"/>
    <cellStyle name="Įprastas 5 4 2 3 2 3 2 3_8 priedas" xfId="9796" xr:uid="{C404564F-3AA1-4779-B474-68D1FFA7739F}"/>
    <cellStyle name="Įprastas 5 4 2 3 2 3 2 4" xfId="7314" xr:uid="{17F10F2D-47B6-4542-8C3C-C1EF1CE23CB0}"/>
    <cellStyle name="Įprastas 5 4 2 3 2 3 2 5" xfId="3858" xr:uid="{49988A14-131E-4BCA-B156-17F933185FA8}"/>
    <cellStyle name="Įprastas 5 4 2 3 2 3 2_8 priedas" xfId="9794" xr:uid="{005F0862-1F23-45EA-8B5A-F502B160486F}"/>
    <cellStyle name="Įprastas 5 4 2 3 2 3 3" xfId="1949" xr:uid="{77AFC026-726B-42D0-BB58-C778DF231967}"/>
    <cellStyle name="Įprastas 5 4 2 3 2 3 3 2" xfId="5963" xr:uid="{448F868C-1F0F-43ED-814B-2D7622913EF2}"/>
    <cellStyle name="Įprastas 5 4 2 3 2 3 3 3" xfId="7691" xr:uid="{6CEBBBAC-726D-449D-9689-CFBD11FC20D8}"/>
    <cellStyle name="Įprastas 5 4 2 3 2 3 3 4" xfId="4235" xr:uid="{925679DD-AA9B-4FA9-8D57-5F68FCC415D9}"/>
    <cellStyle name="Įprastas 5 4 2 3 2 3 3_8 priedas" xfId="9797" xr:uid="{38D9F23B-BF40-48D8-8328-24D7E23A6646}"/>
    <cellStyle name="Įprastas 5 4 2 3 2 3 4" xfId="2506" xr:uid="{FF6A788B-AC36-4D0D-870F-FB349F4FC73C}"/>
    <cellStyle name="Įprastas 5 4 2 3 2 3 4 2" xfId="5099" xr:uid="{938B6317-1BE6-4577-8A66-5AA9C62FFF2A}"/>
    <cellStyle name="Įprastas 5 4 2 3 2 3 4_8 priedas" xfId="9798" xr:uid="{C0A21C69-A45E-41B7-B98F-13FC5DCC5F95}"/>
    <cellStyle name="Įprastas 5 4 2 3 2 3 5" xfId="6827" xr:uid="{EE20B604-943C-4BE5-BCFB-C9248FDC71FC}"/>
    <cellStyle name="Įprastas 5 4 2 3 2 3 6" xfId="3371" xr:uid="{C365FDD0-68A2-440B-846D-6C22146E8992}"/>
    <cellStyle name="Įprastas 5 4 2 3 2 3_8 priedas" xfId="1307" xr:uid="{00000000-0005-0000-0000-0000B2030000}"/>
    <cellStyle name="Įprastas 5 4 2 3 2 4" xfId="557" xr:uid="{00000000-0005-0000-0000-0000B3030000}"/>
    <cellStyle name="Įprastas 5 4 2 3 2 4 2" xfId="1950" xr:uid="{A76FFE6A-4945-4E90-B7ED-CF144CF223BE}"/>
    <cellStyle name="Įprastas 5 4 2 3 2 4 2 2" xfId="6162" xr:uid="{85BA2FB9-39B6-4190-B2CD-CD495D0DA535}"/>
    <cellStyle name="Įprastas 5 4 2 3 2 4 2 3" xfId="7890" xr:uid="{736C94DC-938B-49D7-BE88-3241ECFAFFA6}"/>
    <cellStyle name="Įprastas 5 4 2 3 2 4 2 4" xfId="4434" xr:uid="{96755371-CA66-4131-9AB8-410E64CA1CD1}"/>
    <cellStyle name="Įprastas 5 4 2 3 2 4 2_8 priedas" xfId="9800" xr:uid="{6509C07F-90D8-4B98-8BD7-49F928239BAC}"/>
    <cellStyle name="Įprastas 5 4 2 3 2 4 3" xfId="2705" xr:uid="{AD2C135E-8928-484E-894A-2350FDF5A3F8}"/>
    <cellStyle name="Įprastas 5 4 2 3 2 4 3 2" xfId="5298" xr:uid="{7ED1D1C5-BFC3-43FE-8F2F-E6F807DDDFD8}"/>
    <cellStyle name="Įprastas 5 4 2 3 2 4 3_8 priedas" xfId="9801" xr:uid="{0ED835B6-1654-488E-BA81-1A9F1C26CDE1}"/>
    <cellStyle name="Įprastas 5 4 2 3 2 4 4" xfId="7026" xr:uid="{B58BBA48-FBE2-472C-ADE7-34DAD3BD55F3}"/>
    <cellStyle name="Įprastas 5 4 2 3 2 4 5" xfId="3570" xr:uid="{C424EE22-E1A2-47D1-A366-F70C539AE31B}"/>
    <cellStyle name="Įprastas 5 4 2 3 2 4_8 priedas" xfId="9799" xr:uid="{21BDF339-8B05-4393-AE69-AC25182AD9E4}"/>
    <cellStyle name="Įprastas 5 4 2 3 2 5" xfId="1951" xr:uid="{5B8CF805-48BA-44BB-AE1D-05DD56DBAD4D}"/>
    <cellStyle name="Įprastas 5 4 2 3 2 5 2" xfId="5961" xr:uid="{AB92F995-67BF-422D-B304-959947397A1D}"/>
    <cellStyle name="Įprastas 5 4 2 3 2 5 3" xfId="7689" xr:uid="{382CA179-51E8-4D84-83D9-429E878E19C6}"/>
    <cellStyle name="Įprastas 5 4 2 3 2 5 4" xfId="4233" xr:uid="{EF7B9FD2-2F66-48D4-84DB-3BB638E76D63}"/>
    <cellStyle name="Įprastas 5 4 2 3 2 5_8 priedas" xfId="9802" xr:uid="{2F6CABBD-1638-45BE-8683-CCFE91389C4E}"/>
    <cellStyle name="Įprastas 5 4 2 3 2 6" xfId="2504" xr:uid="{C8D1A8C8-DF0C-4307-BD26-3422A0185973}"/>
    <cellStyle name="Įprastas 5 4 2 3 2 6 2" xfId="5097" xr:uid="{AFEEC832-D9FD-4E28-A9B1-F0D4C032BD0B}"/>
    <cellStyle name="Įprastas 5 4 2 3 2 6_8 priedas" xfId="9803" xr:uid="{F9943A47-CEE6-4C09-8827-3C959719CCD8}"/>
    <cellStyle name="Įprastas 5 4 2 3 2 7" xfId="6825" xr:uid="{1C751000-604E-4C3F-A52F-CFEFBFD8A83A}"/>
    <cellStyle name="Įprastas 5 4 2 3 2 8" xfId="3369" xr:uid="{D45F8A27-3673-4302-8B9C-EB1E82B3EB4D}"/>
    <cellStyle name="Įprastas 5 4 2 3 2_8 priedas" xfId="1216" xr:uid="{00000000-0005-0000-0000-0000B4030000}"/>
    <cellStyle name="Įprastas 5 4 2 3 3" xfId="343" xr:uid="{00000000-0005-0000-0000-0000B5030000}"/>
    <cellStyle name="Įprastas 5 4 2 3 3 2" xfId="344" xr:uid="{00000000-0005-0000-0000-0000B6030000}"/>
    <cellStyle name="Įprastas 5 4 2 3 3 2 2" xfId="749" xr:uid="{00000000-0005-0000-0000-0000B7030000}"/>
    <cellStyle name="Įprastas 5 4 2 3 3 2 2 2" xfId="1952" xr:uid="{A8470204-4F7D-4DE7-8084-4D1AFBC4B80E}"/>
    <cellStyle name="Įprastas 5 4 2 3 3 2 2 2 2" xfId="6354" xr:uid="{9504E609-6259-4C74-8F02-4C76C5E0687B}"/>
    <cellStyle name="Įprastas 5 4 2 3 3 2 2 2 3" xfId="8082" xr:uid="{1B9DBBF1-4B41-4123-86A8-F9B363C2FDC6}"/>
    <cellStyle name="Įprastas 5 4 2 3 3 2 2 2 4" xfId="4626" xr:uid="{71A12144-C09D-43E7-B8E9-6B22EC414E4E}"/>
    <cellStyle name="Įprastas 5 4 2 3 3 2 2 2_8 priedas" xfId="9805" xr:uid="{1DFF73E9-42B6-48FE-A784-B69369CE2039}"/>
    <cellStyle name="Įprastas 5 4 2 3 3 2 2 3" xfId="2897" xr:uid="{10C6F4BA-6242-47FA-BACD-F77AE6C2C0D5}"/>
    <cellStyle name="Įprastas 5 4 2 3 3 2 2 3 2" xfId="5490" xr:uid="{EEE6378A-05B2-4CB6-B56F-48F9FD0E5A7D}"/>
    <cellStyle name="Įprastas 5 4 2 3 3 2 2 3_8 priedas" xfId="9806" xr:uid="{C49F5DFF-5D8B-4622-8E31-6C07C2D0F136}"/>
    <cellStyle name="Įprastas 5 4 2 3 3 2 2 4" xfId="7218" xr:uid="{8690B9BF-3770-4D18-A396-AB31BBF58B69}"/>
    <cellStyle name="Įprastas 5 4 2 3 3 2 2 5" xfId="3762" xr:uid="{676918B6-A34D-42E9-9B06-E4B3A7E22F16}"/>
    <cellStyle name="Įprastas 5 4 2 3 3 2 2_8 priedas" xfId="9804" xr:uid="{B4E96CAC-BD3E-416A-A3D5-5B3FB1D29883}"/>
    <cellStyle name="Įprastas 5 4 2 3 3 2 3" xfId="1953" xr:uid="{151BB652-AB96-4E98-9153-855050B99CB4}"/>
    <cellStyle name="Įprastas 5 4 2 3 3 2 3 2" xfId="5965" xr:uid="{01305A6F-F178-4A22-AF1B-CD60E44CF9A9}"/>
    <cellStyle name="Įprastas 5 4 2 3 3 2 3 3" xfId="7693" xr:uid="{3D0DBDCB-A70E-4BC5-8A9D-F44ECF0C94F3}"/>
    <cellStyle name="Įprastas 5 4 2 3 3 2 3 4" xfId="4237" xr:uid="{33C68FD8-D229-48DA-B971-D26CE4C192BF}"/>
    <cellStyle name="Įprastas 5 4 2 3 3 2 3_8 priedas" xfId="9807" xr:uid="{FF7A7CA8-9CE5-4AC8-AEB0-A8FF72B6A3FD}"/>
    <cellStyle name="Įprastas 5 4 2 3 3 2 4" xfId="2508" xr:uid="{43C8A6E3-71D7-40A0-883F-273753BDBD16}"/>
    <cellStyle name="Įprastas 5 4 2 3 3 2 4 2" xfId="5101" xr:uid="{6DBF1928-15DF-4B61-8D84-3FBF433BF473}"/>
    <cellStyle name="Įprastas 5 4 2 3 3 2 4_8 priedas" xfId="9808" xr:uid="{E1115FE6-2B0D-44C6-90E8-FC420686BD51}"/>
    <cellStyle name="Įprastas 5 4 2 3 3 2 5" xfId="6829" xr:uid="{DC272208-138D-475B-86DB-DD6895460F3C}"/>
    <cellStyle name="Įprastas 5 4 2 3 3 2 6" xfId="3373" xr:uid="{BCF8F665-CEB5-484F-B621-7AB1AD23BAD7}"/>
    <cellStyle name="Įprastas 5 4 2 3 3 2_8 priedas" xfId="1034" xr:uid="{00000000-0005-0000-0000-0000B8030000}"/>
    <cellStyle name="Įprastas 5 4 2 3 3 3" xfId="345" xr:uid="{00000000-0005-0000-0000-0000B9030000}"/>
    <cellStyle name="Įprastas 5 4 2 3 3 3 2" xfId="893" xr:uid="{00000000-0005-0000-0000-0000BA030000}"/>
    <cellStyle name="Įprastas 5 4 2 3 3 3 2 2" xfId="1954" xr:uid="{AD13B936-A76D-4901-9464-9F9553600E7E}"/>
    <cellStyle name="Įprastas 5 4 2 3 3 3 2 2 2" xfId="6498" xr:uid="{E9921ED4-E998-489D-8B79-2883C73394F1}"/>
    <cellStyle name="Įprastas 5 4 2 3 3 3 2 2 3" xfId="8226" xr:uid="{D01D40E4-35E2-4A72-9D98-E9387250B02E}"/>
    <cellStyle name="Įprastas 5 4 2 3 3 3 2 2 4" xfId="4770" xr:uid="{15493A46-3BA2-4C36-96D4-95E4B295EF17}"/>
    <cellStyle name="Įprastas 5 4 2 3 3 3 2 2_8 priedas" xfId="9810" xr:uid="{CAD373BD-B99F-4BA5-9DCE-0A62DAD7EB5C}"/>
    <cellStyle name="Įprastas 5 4 2 3 3 3 2 3" xfId="3041" xr:uid="{077D461F-D72B-406F-B4C0-7B9AAA228DC0}"/>
    <cellStyle name="Įprastas 5 4 2 3 3 3 2 3 2" xfId="5634" xr:uid="{94005982-B6BE-4450-A55B-45E1CEEAD78C}"/>
    <cellStyle name="Įprastas 5 4 2 3 3 3 2 3_8 priedas" xfId="9811" xr:uid="{81868139-0943-4B7E-B404-7ABA20A48F42}"/>
    <cellStyle name="Įprastas 5 4 2 3 3 3 2 4" xfId="7362" xr:uid="{36F4A44D-2311-43C4-AB09-DFABB0F26E5C}"/>
    <cellStyle name="Įprastas 5 4 2 3 3 3 2 5" xfId="3906" xr:uid="{28E3170A-ACAB-4525-BEA6-89D8AB4CEA73}"/>
    <cellStyle name="Įprastas 5 4 2 3 3 3 2_8 priedas" xfId="9809" xr:uid="{A14DDF2F-025B-4B25-B1D4-23F7D2A1A9BB}"/>
    <cellStyle name="Įprastas 5 4 2 3 3 3 3" xfId="1955" xr:uid="{0F34FDF6-7433-49B2-916A-2AF0883BB8BD}"/>
    <cellStyle name="Įprastas 5 4 2 3 3 3 3 2" xfId="5966" xr:uid="{FC723A7A-637E-42B8-9ECE-9BA9EA6C7203}"/>
    <cellStyle name="Įprastas 5 4 2 3 3 3 3 3" xfId="7694" xr:uid="{B6CD55BE-3495-4360-810F-757ADD2E16DE}"/>
    <cellStyle name="Įprastas 5 4 2 3 3 3 3 4" xfId="4238" xr:uid="{D819AA1F-BB84-4726-8052-86181A93E845}"/>
    <cellStyle name="Įprastas 5 4 2 3 3 3 3_8 priedas" xfId="9812" xr:uid="{7660BB02-0FAB-48D6-AB6A-BCF4CDB36421}"/>
    <cellStyle name="Įprastas 5 4 2 3 3 3 4" xfId="2509" xr:uid="{D79B0B61-B5F0-4CA7-8465-08615ED2A756}"/>
    <cellStyle name="Įprastas 5 4 2 3 3 3 4 2" xfId="5102" xr:uid="{CD507472-6856-4E22-A7FE-B395F83B3C3A}"/>
    <cellStyle name="Įprastas 5 4 2 3 3 3 4_8 priedas" xfId="9813" xr:uid="{2C900E1E-A0E2-48D3-BC2D-039C523A754A}"/>
    <cellStyle name="Įprastas 5 4 2 3 3 3 5" xfId="6830" xr:uid="{B50C0D01-E74D-45BE-BCD1-7D43083DE131}"/>
    <cellStyle name="Įprastas 5 4 2 3 3 3 6" xfId="3374" xr:uid="{0BEC84BB-7320-4079-98C5-73B152779BD0}"/>
    <cellStyle name="Įprastas 5 4 2 3 3 3_8 priedas" xfId="1258" xr:uid="{00000000-0005-0000-0000-0000BB030000}"/>
    <cellStyle name="Įprastas 5 4 2 3 3 4" xfId="605" xr:uid="{00000000-0005-0000-0000-0000BC030000}"/>
    <cellStyle name="Įprastas 5 4 2 3 3 4 2" xfId="1956" xr:uid="{4544EF9F-CA04-441C-A55E-042489DF7E73}"/>
    <cellStyle name="Įprastas 5 4 2 3 3 4 2 2" xfId="6210" xr:uid="{4C96C7DB-71C4-4CFD-9AEE-3CF6E366C036}"/>
    <cellStyle name="Įprastas 5 4 2 3 3 4 2 3" xfId="7938" xr:uid="{726411C1-D56B-404E-A901-1B61D6EF61DA}"/>
    <cellStyle name="Įprastas 5 4 2 3 3 4 2 4" xfId="4482" xr:uid="{C9F92CA8-CEDF-484E-A936-68E57706FB1C}"/>
    <cellStyle name="Įprastas 5 4 2 3 3 4 2_8 priedas" xfId="9815" xr:uid="{6D11A038-D730-463E-A03D-CB72EE7A4FAB}"/>
    <cellStyle name="Įprastas 5 4 2 3 3 4 3" xfId="2753" xr:uid="{A9B15574-CD73-49EC-A2E2-3F5D533549FA}"/>
    <cellStyle name="Įprastas 5 4 2 3 3 4 3 2" xfId="5346" xr:uid="{680472D0-AD4D-4FEE-924A-740EBA25E388}"/>
    <cellStyle name="Įprastas 5 4 2 3 3 4 3_8 priedas" xfId="9816" xr:uid="{635A992B-AA54-423F-9831-56F79672D7D3}"/>
    <cellStyle name="Įprastas 5 4 2 3 3 4 4" xfId="7074" xr:uid="{C0773474-E5F1-4DBA-8AE4-387CCE4C3CF2}"/>
    <cellStyle name="Įprastas 5 4 2 3 3 4 5" xfId="3618" xr:uid="{B49767A2-E0E2-456A-8792-5F10B0CE42BB}"/>
    <cellStyle name="Įprastas 5 4 2 3 3 4_8 priedas" xfId="9814" xr:uid="{679E69BB-D532-408C-B023-70FFA974ECE7}"/>
    <cellStyle name="Įprastas 5 4 2 3 3 5" xfId="1957" xr:uid="{377DEE3F-A956-4B5D-BEBE-C457901191F5}"/>
    <cellStyle name="Įprastas 5 4 2 3 3 5 2" xfId="5964" xr:uid="{BC8091D1-B7E7-4660-901A-3D717265526C}"/>
    <cellStyle name="Įprastas 5 4 2 3 3 5 3" xfId="7692" xr:uid="{120A07DB-A255-4C66-B26F-29727398D1A6}"/>
    <cellStyle name="Įprastas 5 4 2 3 3 5 4" xfId="4236" xr:uid="{B4791AB7-91D2-44E8-833B-4707757BE580}"/>
    <cellStyle name="Įprastas 5 4 2 3 3 5_8 priedas" xfId="9817" xr:uid="{104AF5E3-F880-47A6-A4A7-A08581EE4F72}"/>
    <cellStyle name="Įprastas 5 4 2 3 3 6" xfId="2507" xr:uid="{6BDB213B-BE90-45F7-B36C-B455B8415B99}"/>
    <cellStyle name="Įprastas 5 4 2 3 3 6 2" xfId="5100" xr:uid="{97C4499D-2602-4852-9706-8627AA206108}"/>
    <cellStyle name="Įprastas 5 4 2 3 3 6_8 priedas" xfId="9818" xr:uid="{38471804-AA9E-4C42-A3EE-A3F37947E360}"/>
    <cellStyle name="Įprastas 5 4 2 3 3 7" xfId="6828" xr:uid="{8DA248BC-32F5-4419-82CD-A89EAF64E6D5}"/>
    <cellStyle name="Įprastas 5 4 2 3 3 8" xfId="3372" xr:uid="{2A706E0C-11C3-42EA-BC2C-EFFAC97F8D11}"/>
    <cellStyle name="Įprastas 5 4 2 3 3_8 priedas" xfId="1170" xr:uid="{00000000-0005-0000-0000-0000BD030000}"/>
    <cellStyle name="Įprastas 5 4 2 3 4" xfId="346" xr:uid="{00000000-0005-0000-0000-0000BE030000}"/>
    <cellStyle name="Įprastas 5 4 2 3 4 2" xfId="653" xr:uid="{00000000-0005-0000-0000-0000BF030000}"/>
    <cellStyle name="Įprastas 5 4 2 3 4 2 2" xfId="1958" xr:uid="{D9DDC734-9FF0-496E-9060-F7532F8B055D}"/>
    <cellStyle name="Įprastas 5 4 2 3 4 2 2 2" xfId="6258" xr:uid="{6AD2B971-2BE6-4DAD-80C4-1570E62BE704}"/>
    <cellStyle name="Įprastas 5 4 2 3 4 2 2 3" xfId="7986" xr:uid="{5BCC8EAC-16CB-4805-9CA0-A45659AFC64C}"/>
    <cellStyle name="Įprastas 5 4 2 3 4 2 2 4" xfId="4530" xr:uid="{4C54F3CF-61A1-423E-825E-3D4CE4D8CFB3}"/>
    <cellStyle name="Įprastas 5 4 2 3 4 2 2_8 priedas" xfId="9820" xr:uid="{45ACA75E-2387-440E-9CB8-17CF57CD5952}"/>
    <cellStyle name="Įprastas 5 4 2 3 4 2 3" xfId="2801" xr:uid="{D974649F-9F32-47B0-A981-3ECA9C3EB9FA}"/>
    <cellStyle name="Įprastas 5 4 2 3 4 2 3 2" xfId="5394" xr:uid="{E7E6B14C-9EA7-41E8-A3B7-613B2EF8BE65}"/>
    <cellStyle name="Įprastas 5 4 2 3 4 2 3_8 priedas" xfId="9821" xr:uid="{DD23484F-46D3-4BD4-BEF6-8346F00C04ED}"/>
    <cellStyle name="Įprastas 5 4 2 3 4 2 4" xfId="7122" xr:uid="{2A401CC8-4C98-465C-B534-24C9BCB04B71}"/>
    <cellStyle name="Įprastas 5 4 2 3 4 2 5" xfId="3666" xr:uid="{31D36149-EB72-4425-A97C-BD13ACDDEA2F}"/>
    <cellStyle name="Įprastas 5 4 2 3 4 2_8 priedas" xfId="9819" xr:uid="{CE0F6895-94FF-430F-BCCB-37E52885CD3A}"/>
    <cellStyle name="Įprastas 5 4 2 3 4 3" xfId="1959" xr:uid="{BBB2CBA7-C3BB-4141-968E-6C9DAB608D4C}"/>
    <cellStyle name="Įprastas 5 4 2 3 4 3 2" xfId="5967" xr:uid="{0CFAC0A4-4181-4B29-A402-1BC32623AF3B}"/>
    <cellStyle name="Įprastas 5 4 2 3 4 3 3" xfId="7695" xr:uid="{C8E568FB-52AD-47FE-A82D-EC48FC3CE793}"/>
    <cellStyle name="Įprastas 5 4 2 3 4 3 4" xfId="4239" xr:uid="{F5418904-D647-4EAD-90E1-4C0595773723}"/>
    <cellStyle name="Įprastas 5 4 2 3 4 3_8 priedas" xfId="9822" xr:uid="{FBA66BC9-DBDB-4E26-9272-C75B356139AA}"/>
    <cellStyle name="Įprastas 5 4 2 3 4 4" xfId="2510" xr:uid="{62D4E4FF-176E-4512-90B5-E4B69B691DE2}"/>
    <cellStyle name="Įprastas 5 4 2 3 4 4 2" xfId="5103" xr:uid="{4996635E-5390-4477-972D-6D14E895F492}"/>
    <cellStyle name="Įprastas 5 4 2 3 4 4_8 priedas" xfId="9823" xr:uid="{93C481E8-E292-4F98-9629-D848885CA94F}"/>
    <cellStyle name="Įprastas 5 4 2 3 4 5" xfId="6831" xr:uid="{7E6998E2-E0B7-4CB9-9A14-BF336166F8E4}"/>
    <cellStyle name="Įprastas 5 4 2 3 4 6" xfId="3375" xr:uid="{79D04ADD-3D20-4F2E-82DD-8898F72DCC55}"/>
    <cellStyle name="Įprastas 5 4 2 3 4_8 priedas" xfId="1122" xr:uid="{00000000-0005-0000-0000-0000C0030000}"/>
    <cellStyle name="Įprastas 5 4 2 3 5" xfId="347" xr:uid="{00000000-0005-0000-0000-0000C1030000}"/>
    <cellStyle name="Įprastas 5 4 2 3 5 2" xfId="797" xr:uid="{00000000-0005-0000-0000-0000C2030000}"/>
    <cellStyle name="Įprastas 5 4 2 3 5 2 2" xfId="1960" xr:uid="{25A6CFEA-7F4B-4363-93F1-232CF86793B3}"/>
    <cellStyle name="Įprastas 5 4 2 3 5 2 2 2" xfId="6402" xr:uid="{0E8802C8-7894-4ABB-929D-687850DF17AF}"/>
    <cellStyle name="Įprastas 5 4 2 3 5 2 2 3" xfId="8130" xr:uid="{ACD41136-D703-4314-BD8C-5989A818023A}"/>
    <cellStyle name="Įprastas 5 4 2 3 5 2 2 4" xfId="4674" xr:uid="{E788015B-7B89-43D6-BCBE-B3EEFC2F50F5}"/>
    <cellStyle name="Įprastas 5 4 2 3 5 2 2_8 priedas" xfId="9825" xr:uid="{886EF5E0-2C8B-44B4-89D4-F669CFC694FB}"/>
    <cellStyle name="Įprastas 5 4 2 3 5 2 3" xfId="2945" xr:uid="{8354B6DC-E1D6-4DE8-9D74-DE20556DDD56}"/>
    <cellStyle name="Įprastas 5 4 2 3 5 2 3 2" xfId="5538" xr:uid="{724E0024-7825-4B39-A41E-10320FDE09AB}"/>
    <cellStyle name="Įprastas 5 4 2 3 5 2 3_8 priedas" xfId="9826" xr:uid="{B60D2924-77F1-428E-B1AC-1F5455F70C67}"/>
    <cellStyle name="Įprastas 5 4 2 3 5 2 4" xfId="7266" xr:uid="{2B65A2DC-6379-40F3-89DA-B5743B9B2CAC}"/>
    <cellStyle name="Įprastas 5 4 2 3 5 2 5" xfId="3810" xr:uid="{BD725AC2-6DD1-4B58-B901-F673CCCB4042}"/>
    <cellStyle name="Įprastas 5 4 2 3 5 2_8 priedas" xfId="9824" xr:uid="{DA781392-B35B-467C-BFCD-922AF572408A}"/>
    <cellStyle name="Įprastas 5 4 2 3 5 3" xfId="1961" xr:uid="{998C0FCE-2A0C-4258-9196-41D866267F27}"/>
    <cellStyle name="Įprastas 5 4 2 3 5 3 2" xfId="5968" xr:uid="{B7C29CDE-F4C8-4995-92CE-0A746625FE21}"/>
    <cellStyle name="Įprastas 5 4 2 3 5 3 3" xfId="7696" xr:uid="{233761DB-1D78-4192-B487-817B562E350C}"/>
    <cellStyle name="Įprastas 5 4 2 3 5 3 4" xfId="4240" xr:uid="{12CE2466-3BCD-4DA8-B09F-00C1D1C280B7}"/>
    <cellStyle name="Įprastas 5 4 2 3 5 3_8 priedas" xfId="9827" xr:uid="{D82FBA9F-A6FA-4A99-A22F-2A04AD61C1B9}"/>
    <cellStyle name="Įprastas 5 4 2 3 5 4" xfId="2511" xr:uid="{643FC50F-F920-4C57-9E5C-0945BC195D91}"/>
    <cellStyle name="Įprastas 5 4 2 3 5 4 2" xfId="5104" xr:uid="{3253C89E-7847-4958-8F6B-A68103438A0C}"/>
    <cellStyle name="Įprastas 5 4 2 3 5 4_8 priedas" xfId="9828" xr:uid="{3B3371F7-4D1C-4A66-B606-BC6580E063EA}"/>
    <cellStyle name="Įprastas 5 4 2 3 5 5" xfId="6832" xr:uid="{E2963AC5-A146-4905-BDF9-D1A53CA08A28}"/>
    <cellStyle name="Įprastas 5 4 2 3 5 6" xfId="3376" xr:uid="{04DE760F-C5E7-4170-84BC-6DA61C6CB32D}"/>
    <cellStyle name="Įprastas 5 4 2 3 5_8 priedas" xfId="986" xr:uid="{00000000-0005-0000-0000-0000C3030000}"/>
    <cellStyle name="Įprastas 5 4 2 3 6" xfId="509" xr:uid="{00000000-0005-0000-0000-0000C4030000}"/>
    <cellStyle name="Įprastas 5 4 2 3 6 2" xfId="1962" xr:uid="{EB98C3EC-D8D1-4DBF-B71F-51EEA897F534}"/>
    <cellStyle name="Įprastas 5 4 2 3 6 2 2" xfId="6114" xr:uid="{0BE38034-06C0-4E64-A208-F5A641236E5E}"/>
    <cellStyle name="Įprastas 5 4 2 3 6 2 3" xfId="7842" xr:uid="{051B8D5D-D10F-4513-992C-2A103F28E643}"/>
    <cellStyle name="Įprastas 5 4 2 3 6 2 4" xfId="4386" xr:uid="{BD85CF97-5C05-40DB-9C5B-7E49C30B5C4C}"/>
    <cellStyle name="Įprastas 5 4 2 3 6 2_8 priedas" xfId="9830" xr:uid="{CB55C68E-B651-4C4F-A7D9-415241ADC7D4}"/>
    <cellStyle name="Įprastas 5 4 2 3 6 3" xfId="2657" xr:uid="{0884B885-A458-43BE-95AD-BD6092C05C8F}"/>
    <cellStyle name="Įprastas 5 4 2 3 6 3 2" xfId="5250" xr:uid="{06CADE17-F64B-470C-8E6C-8903BFFCA524}"/>
    <cellStyle name="Įprastas 5 4 2 3 6 3_8 priedas" xfId="9831" xr:uid="{A0636AA9-8CE6-4434-A5C0-BC2891B5E9FD}"/>
    <cellStyle name="Įprastas 5 4 2 3 6 4" xfId="6978" xr:uid="{D7D2C60E-3A98-46BD-AE45-6095A85FBFF9}"/>
    <cellStyle name="Įprastas 5 4 2 3 6 5" xfId="3522" xr:uid="{09F71AAB-6EBD-47A4-8067-FC204ED2C993}"/>
    <cellStyle name="Įprastas 5 4 2 3 6_8 priedas" xfId="9829" xr:uid="{EF109F14-733E-4A31-A041-AC84157BEF8C}"/>
    <cellStyle name="Įprastas 5 4 2 3 7" xfId="1963" xr:uid="{08A7D741-E339-424D-AF2B-10EDB59F13BA}"/>
    <cellStyle name="Įprastas 5 4 2 3 7 2" xfId="5960" xr:uid="{098F0C22-AC77-417D-8462-354CD450E19E}"/>
    <cellStyle name="Įprastas 5 4 2 3 7 3" xfId="7688" xr:uid="{6791F45D-AD83-4D64-8EB3-64F384136D6D}"/>
    <cellStyle name="Įprastas 5 4 2 3 7 4" xfId="4232" xr:uid="{637AA1A9-2BCE-4BDB-BB9B-F97A420B1C05}"/>
    <cellStyle name="Įprastas 5 4 2 3 7_8 priedas" xfId="9832" xr:uid="{9B30A973-B079-4F02-8F36-2C356E85A3B3}"/>
    <cellStyle name="Įprastas 5 4 2 3 8" xfId="2503" xr:uid="{DE6EBAA8-4F32-4025-9FF4-6DB6D5058530}"/>
    <cellStyle name="Įprastas 5 4 2 3 8 2" xfId="5096" xr:uid="{411B2A87-AD50-46B0-8868-CE7CACD00A95}"/>
    <cellStyle name="Įprastas 5 4 2 3 8_8 priedas" xfId="9833" xr:uid="{2C99F066-3E37-4E27-B06F-73482D6E7E5F}"/>
    <cellStyle name="Įprastas 5 4 2 3 9" xfId="6824" xr:uid="{5E54AE56-BBEF-49D8-8A0B-04D9DF3FE627}"/>
    <cellStyle name="Įprastas 5 4 2 3_8 priedas" xfId="968" xr:uid="{00000000-0005-0000-0000-0000C5030000}"/>
    <cellStyle name="Įprastas 5 4 2 4" xfId="348" xr:uid="{00000000-0005-0000-0000-0000C6030000}"/>
    <cellStyle name="Įprastas 5 4 2 4 2" xfId="349" xr:uid="{00000000-0005-0000-0000-0000C7030000}"/>
    <cellStyle name="Įprastas 5 4 2 4 2 2" xfId="677" xr:uid="{00000000-0005-0000-0000-0000C8030000}"/>
    <cellStyle name="Įprastas 5 4 2 4 2 2 2" xfId="1964" xr:uid="{22A0EFE6-2B91-4DD4-B71A-4E2488070674}"/>
    <cellStyle name="Įprastas 5 4 2 4 2 2 2 2" xfId="6282" xr:uid="{4547F91F-4697-4A5E-BF36-2CC0460BFEF1}"/>
    <cellStyle name="Įprastas 5 4 2 4 2 2 2 3" xfId="8010" xr:uid="{434E054E-5156-4519-BEE7-1662F233C529}"/>
    <cellStyle name="Įprastas 5 4 2 4 2 2 2 4" xfId="4554" xr:uid="{0499416E-9B44-4574-8F8D-85711F5841AD}"/>
    <cellStyle name="Įprastas 5 4 2 4 2 2 2_8 priedas" xfId="9835" xr:uid="{95159859-64F6-44F9-AE5D-29527817FD9F}"/>
    <cellStyle name="Įprastas 5 4 2 4 2 2 3" xfId="2825" xr:uid="{5AC61368-A93D-4C2B-AFF6-3447052B45D5}"/>
    <cellStyle name="Įprastas 5 4 2 4 2 2 3 2" xfId="5418" xr:uid="{558BF8C2-906F-4C2E-A559-92F015292A0C}"/>
    <cellStyle name="Įprastas 5 4 2 4 2 2 3_8 priedas" xfId="9836" xr:uid="{0588DAFA-0F47-48DD-8B59-BCDA9F87FC67}"/>
    <cellStyle name="Įprastas 5 4 2 4 2 2 4" xfId="7146" xr:uid="{98F885DA-6260-42EC-AF68-4EE1D13805E5}"/>
    <cellStyle name="Įprastas 5 4 2 4 2 2 5" xfId="3690" xr:uid="{493F0158-35BD-42C7-A514-A005CB55D475}"/>
    <cellStyle name="Įprastas 5 4 2 4 2 2_8 priedas" xfId="9834" xr:uid="{9800401C-C941-49E8-A312-392CFB2C587E}"/>
    <cellStyle name="Įprastas 5 4 2 4 2 3" xfId="1965" xr:uid="{58B9959B-B49F-43C5-B190-6DFE6C465419}"/>
    <cellStyle name="Įprastas 5 4 2 4 2 3 2" xfId="5970" xr:uid="{48F5BE8F-CCC5-4FAD-8B37-228ECC4B8136}"/>
    <cellStyle name="Įprastas 5 4 2 4 2 3 3" xfId="7698" xr:uid="{8531A6B0-A684-455C-B924-F74DD27A44A8}"/>
    <cellStyle name="Įprastas 5 4 2 4 2 3 4" xfId="4242" xr:uid="{2BAE33D9-EBBB-4AE4-85D6-F29C3AA4B511}"/>
    <cellStyle name="Įprastas 5 4 2 4 2 3_8 priedas" xfId="9837" xr:uid="{53F6BA2B-F5A1-4E72-B350-DEAE8EABCA2D}"/>
    <cellStyle name="Įprastas 5 4 2 4 2 4" xfId="2513" xr:uid="{C932519C-09BD-41A5-A3C3-9FE0E8600D3E}"/>
    <cellStyle name="Įprastas 5 4 2 4 2 4 2" xfId="5106" xr:uid="{4B9C86B2-BF95-48E8-B669-F829FF347868}"/>
    <cellStyle name="Įprastas 5 4 2 4 2 4_8 priedas" xfId="9838" xr:uid="{8A265073-108A-406D-B459-CB95A5F1F40E}"/>
    <cellStyle name="Įprastas 5 4 2 4 2 5" xfId="6834" xr:uid="{C73CCC4C-F417-40EF-B113-ED638831B843}"/>
    <cellStyle name="Įprastas 5 4 2 4 2 6" xfId="3378" xr:uid="{0F7D10CD-F4D6-4CF3-983B-395ECE8B8276}"/>
    <cellStyle name="Įprastas 5 4 2 4 2_8 priedas" xfId="1204" xr:uid="{00000000-0005-0000-0000-0000C9030000}"/>
    <cellStyle name="Įprastas 5 4 2 4 3" xfId="350" xr:uid="{00000000-0005-0000-0000-0000CA030000}"/>
    <cellStyle name="Įprastas 5 4 2 4 3 2" xfId="821" xr:uid="{00000000-0005-0000-0000-0000CB030000}"/>
    <cellStyle name="Įprastas 5 4 2 4 3 2 2" xfId="1966" xr:uid="{30BF6B27-39F5-4C79-BD39-ADAFD414C52F}"/>
    <cellStyle name="Įprastas 5 4 2 4 3 2 2 2" xfId="6426" xr:uid="{C39E7C3A-CA18-4793-875C-83EC6ADB585C}"/>
    <cellStyle name="Įprastas 5 4 2 4 3 2 2 3" xfId="8154" xr:uid="{C54D43DB-22D3-428C-94C5-BD155DE4D340}"/>
    <cellStyle name="Įprastas 5 4 2 4 3 2 2 4" xfId="4698" xr:uid="{0D5532B8-2ACC-4AB5-9A7A-03A10881ECBF}"/>
    <cellStyle name="Įprastas 5 4 2 4 3 2 2_8 priedas" xfId="9840" xr:uid="{D7975BF0-DCA5-4F66-B98E-9B14F9D2B0A2}"/>
    <cellStyle name="Įprastas 5 4 2 4 3 2 3" xfId="2969" xr:uid="{CCF43640-3F5D-4C59-9201-F268226E037D}"/>
    <cellStyle name="Įprastas 5 4 2 4 3 2 3 2" xfId="5562" xr:uid="{55CF003E-A643-4182-A875-09127485FDEA}"/>
    <cellStyle name="Įprastas 5 4 2 4 3 2 3_8 priedas" xfId="9841" xr:uid="{DF2F829C-05D5-4849-B21E-AE154C20E22E}"/>
    <cellStyle name="Įprastas 5 4 2 4 3 2 4" xfId="7290" xr:uid="{F1205D6D-8686-4067-9C28-94896BE52F40}"/>
    <cellStyle name="Įprastas 5 4 2 4 3 2 5" xfId="3834" xr:uid="{14BEFE52-A656-4557-82D3-1FB44EAEBEAF}"/>
    <cellStyle name="Įprastas 5 4 2 4 3 2_8 priedas" xfId="9839" xr:uid="{CECEF871-CED3-4171-810D-458A4A4D49FE}"/>
    <cellStyle name="Įprastas 5 4 2 4 3 3" xfId="1967" xr:uid="{74FF79E7-D11F-46CB-8CA4-32B47B9BEAC7}"/>
    <cellStyle name="Įprastas 5 4 2 4 3 3 2" xfId="5971" xr:uid="{4B3F24ED-4EA3-44D3-A0E1-AB9D7AFEC8FA}"/>
    <cellStyle name="Įprastas 5 4 2 4 3 3 3" xfId="7699" xr:uid="{12EFB9C9-2CB4-479B-9BD7-9830EBB58B39}"/>
    <cellStyle name="Įprastas 5 4 2 4 3 3 4" xfId="4243" xr:uid="{7498485C-5E4D-4F71-8866-A12FF9DB125E}"/>
    <cellStyle name="Įprastas 5 4 2 4 3 3_8 priedas" xfId="9842" xr:uid="{766902B9-F727-4B6A-A064-62C331D0D4A3}"/>
    <cellStyle name="Įprastas 5 4 2 4 3 4" xfId="2514" xr:uid="{5124BC49-B35D-4D7E-95A3-2F4D31EB5F13}"/>
    <cellStyle name="Įprastas 5 4 2 4 3 4 2" xfId="5107" xr:uid="{EC12435E-2DAC-463C-8EA8-DA9E35AAA956}"/>
    <cellStyle name="Įprastas 5 4 2 4 3 4_8 priedas" xfId="9843" xr:uid="{6CA50E43-C2CE-49F6-9B2A-B3CE9B1616E3}"/>
    <cellStyle name="Įprastas 5 4 2 4 3 5" xfId="6835" xr:uid="{32F01904-821F-403C-8599-3C6B010241A9}"/>
    <cellStyle name="Įprastas 5 4 2 4 3 6" xfId="3379" xr:uid="{1FD6BEC0-0D09-4D4B-A930-1899326947C9}"/>
    <cellStyle name="Įprastas 5 4 2 4 3_8 priedas" xfId="1070" xr:uid="{00000000-0005-0000-0000-0000CC030000}"/>
    <cellStyle name="Įprastas 5 4 2 4 4" xfId="533" xr:uid="{00000000-0005-0000-0000-0000CD030000}"/>
    <cellStyle name="Įprastas 5 4 2 4 4 2" xfId="1968" xr:uid="{7114C1BC-4024-4690-A63F-4DB4DBE026F1}"/>
    <cellStyle name="Įprastas 5 4 2 4 4 2 2" xfId="6138" xr:uid="{1550D84C-D974-48C0-BA2A-F89521289472}"/>
    <cellStyle name="Įprastas 5 4 2 4 4 2 3" xfId="7866" xr:uid="{04FFC9CD-586C-4017-963A-EC2ACC83D1A1}"/>
    <cellStyle name="Įprastas 5 4 2 4 4 2 4" xfId="4410" xr:uid="{71757C82-138E-4EB5-9504-13D05629D4AB}"/>
    <cellStyle name="Įprastas 5 4 2 4 4 2_8 priedas" xfId="9845" xr:uid="{AA257D19-17AB-4EB5-90DA-E11205C2C178}"/>
    <cellStyle name="Įprastas 5 4 2 4 4 3" xfId="2681" xr:uid="{AF83C337-85E5-4AD8-A3A9-1ACBB169B55A}"/>
    <cellStyle name="Įprastas 5 4 2 4 4 3 2" xfId="5274" xr:uid="{55BF2EF1-9B4F-4BDA-8855-111287A25AF1}"/>
    <cellStyle name="Įprastas 5 4 2 4 4 3_8 priedas" xfId="9846" xr:uid="{2C61B446-3128-4DB3-A976-D10C20FF5AA5}"/>
    <cellStyle name="Įprastas 5 4 2 4 4 4" xfId="7002" xr:uid="{008D9363-D6E2-4021-BF59-448CB7629CD5}"/>
    <cellStyle name="Įprastas 5 4 2 4 4 5" xfId="3546" xr:uid="{64E62CD6-8374-4372-82B0-5FA3F73EB534}"/>
    <cellStyle name="Įprastas 5 4 2 4 4_8 priedas" xfId="9844" xr:uid="{9E5B1BC6-9F97-4FD9-8203-E414D700C43A}"/>
    <cellStyle name="Įprastas 5 4 2 4 5" xfId="1969" xr:uid="{117B871D-4D8D-497D-84D5-99CE4F873AC0}"/>
    <cellStyle name="Įprastas 5 4 2 4 5 2" xfId="5969" xr:uid="{6E781860-BD6C-4977-9238-1BC6C4436F04}"/>
    <cellStyle name="Įprastas 5 4 2 4 5 3" xfId="7697" xr:uid="{0C832E5C-4F36-404C-AB5E-B138F305725A}"/>
    <cellStyle name="Įprastas 5 4 2 4 5 4" xfId="4241" xr:uid="{6A03DAFB-2792-4ADA-962B-657C4E237DAB}"/>
    <cellStyle name="Įprastas 5 4 2 4 5_8 priedas" xfId="9847" xr:uid="{D8DB1E98-5238-4AAB-8CE3-8F01F10C34A5}"/>
    <cellStyle name="Įprastas 5 4 2 4 6" xfId="2512" xr:uid="{5737EFE8-AD39-4D73-9059-515B6465DEBE}"/>
    <cellStyle name="Įprastas 5 4 2 4 6 2" xfId="5105" xr:uid="{36BE9B56-8AD5-49DB-9D98-9F3CA6A6976E}"/>
    <cellStyle name="Įprastas 5 4 2 4 6_8 priedas" xfId="9848" xr:uid="{5F9713F5-1F2E-411E-BB82-C6B095462616}"/>
    <cellStyle name="Įprastas 5 4 2 4 7" xfId="6833" xr:uid="{6E4EEDBF-F4C4-46BA-A052-334D964C7CCE}"/>
    <cellStyle name="Įprastas 5 4 2 4 8" xfId="3377" xr:uid="{9E791818-9309-4021-8E9C-63DE31172AC4}"/>
    <cellStyle name="Įprastas 5 4 2 4_8 priedas" xfId="945" xr:uid="{00000000-0005-0000-0000-0000CE030000}"/>
    <cellStyle name="Įprastas 5 4 2 5" xfId="351" xr:uid="{00000000-0005-0000-0000-0000CF030000}"/>
    <cellStyle name="Įprastas 5 4 2 5 2" xfId="352" xr:uid="{00000000-0005-0000-0000-0000D0030000}"/>
    <cellStyle name="Įprastas 5 4 2 5 2 2" xfId="725" xr:uid="{00000000-0005-0000-0000-0000D1030000}"/>
    <cellStyle name="Įprastas 5 4 2 5 2 2 2" xfId="1970" xr:uid="{BB2E3350-52BC-4910-84BC-B4A16C7A6335}"/>
    <cellStyle name="Įprastas 5 4 2 5 2 2 2 2" xfId="6330" xr:uid="{D02266E7-B8B8-4717-8B5D-946BA899297B}"/>
    <cellStyle name="Įprastas 5 4 2 5 2 2 2 3" xfId="8058" xr:uid="{18E3EDBF-2388-4BD9-B18F-52CE572A9E49}"/>
    <cellStyle name="Įprastas 5 4 2 5 2 2 2 4" xfId="4602" xr:uid="{47A3E580-99E6-46BA-9377-E6DEDF4FB1D4}"/>
    <cellStyle name="Įprastas 5 4 2 5 2 2 2_8 priedas" xfId="9850" xr:uid="{40166912-4C15-4163-834B-687D0C52AEEC}"/>
    <cellStyle name="Įprastas 5 4 2 5 2 2 3" xfId="2873" xr:uid="{C4D5F7E9-3B4E-414D-A294-7E3D7F9D4F4B}"/>
    <cellStyle name="Įprastas 5 4 2 5 2 2 3 2" xfId="5466" xr:uid="{A40C932F-03FC-4423-B9E9-0CC15FC0E4A5}"/>
    <cellStyle name="Įprastas 5 4 2 5 2 2 3_8 priedas" xfId="9851" xr:uid="{23E7582B-C4FC-47B5-96D7-D89F5C287826}"/>
    <cellStyle name="Įprastas 5 4 2 5 2 2 4" xfId="7194" xr:uid="{404E2C70-705E-460A-9818-B5642F466AE3}"/>
    <cellStyle name="Įprastas 5 4 2 5 2 2 5" xfId="3738" xr:uid="{793A0AFA-AF91-4FE0-A4D2-82F07AEC363B}"/>
    <cellStyle name="Įprastas 5 4 2 5 2 2_8 priedas" xfId="9849" xr:uid="{AF2EF6FD-7FEE-4132-B3DD-25517784647D}"/>
    <cellStyle name="Įprastas 5 4 2 5 2 3" xfId="1971" xr:uid="{8F33B437-1BC9-4E0D-ADFB-E661AA2E4046}"/>
    <cellStyle name="Įprastas 5 4 2 5 2 3 2" xfId="5973" xr:uid="{DEB9B6DA-6598-47F6-A0D9-165ED5DB825B}"/>
    <cellStyle name="Įprastas 5 4 2 5 2 3 3" xfId="7701" xr:uid="{EE271757-6090-4D3A-87A8-E02047FC7D13}"/>
    <cellStyle name="Įprastas 5 4 2 5 2 3 4" xfId="4245" xr:uid="{7ED958D1-30A0-4894-8731-78CB33CBF47A}"/>
    <cellStyle name="Įprastas 5 4 2 5 2 3_8 priedas" xfId="9852" xr:uid="{84305D28-C1D6-457E-A43F-D7A95DF63F47}"/>
    <cellStyle name="Įprastas 5 4 2 5 2 4" xfId="2516" xr:uid="{7AEA689B-23C4-4581-99F0-388B42C89A34}"/>
    <cellStyle name="Įprastas 5 4 2 5 2 4 2" xfId="5109" xr:uid="{76F63443-B998-471C-907B-67D3FA28709A}"/>
    <cellStyle name="Įprastas 5 4 2 5 2 4_8 priedas" xfId="9853" xr:uid="{CC9D5186-C594-4672-B729-98996E2835CA}"/>
    <cellStyle name="Įprastas 5 4 2 5 2 5" xfId="6837" xr:uid="{5B4AF216-31F5-473A-8DF1-736B7B62784E}"/>
    <cellStyle name="Įprastas 5 4 2 5 2 6" xfId="3381" xr:uid="{A7F3DA19-F322-4A58-BA6F-030A37230987}"/>
    <cellStyle name="Įprastas 5 4 2 5 2_8 priedas" xfId="1158" xr:uid="{00000000-0005-0000-0000-0000D2030000}"/>
    <cellStyle name="Įprastas 5 4 2 5 3" xfId="353" xr:uid="{00000000-0005-0000-0000-0000D3030000}"/>
    <cellStyle name="Įprastas 5 4 2 5 3 2" xfId="869" xr:uid="{00000000-0005-0000-0000-0000D4030000}"/>
    <cellStyle name="Įprastas 5 4 2 5 3 2 2" xfId="1972" xr:uid="{952E5404-D102-42C1-98DF-624068985E76}"/>
    <cellStyle name="Įprastas 5 4 2 5 3 2 2 2" xfId="6474" xr:uid="{48590D39-3A39-4E6F-8174-9C4A85B889B4}"/>
    <cellStyle name="Įprastas 5 4 2 5 3 2 2 3" xfId="8202" xr:uid="{1F24EC95-1064-4F8F-ABC3-E1F2636884F3}"/>
    <cellStyle name="Įprastas 5 4 2 5 3 2 2 4" xfId="4746" xr:uid="{2869B31A-84D6-4D59-8C60-012F3B79234A}"/>
    <cellStyle name="Įprastas 5 4 2 5 3 2 2_8 priedas" xfId="9855" xr:uid="{909E9E00-558E-4BCE-A0ED-8F823995588C}"/>
    <cellStyle name="Įprastas 5 4 2 5 3 2 3" xfId="3017" xr:uid="{E508CED7-3B4F-4D83-B67E-AAD58CBAE345}"/>
    <cellStyle name="Įprastas 5 4 2 5 3 2 3 2" xfId="5610" xr:uid="{DB251A05-CA66-4B65-B0F0-7021E3072C2E}"/>
    <cellStyle name="Įprastas 5 4 2 5 3 2 3_8 priedas" xfId="9856" xr:uid="{6A25E619-A885-4424-8435-A18ED16DED53}"/>
    <cellStyle name="Įprastas 5 4 2 5 3 2 4" xfId="7338" xr:uid="{CCE49E53-0FC7-4F72-8991-5ED6DCDA4A0A}"/>
    <cellStyle name="Įprastas 5 4 2 5 3 2 5" xfId="3882" xr:uid="{52A15E95-AED1-4CA1-AAD9-E26035E6E66E}"/>
    <cellStyle name="Įprastas 5 4 2 5 3 2_8 priedas" xfId="9854" xr:uid="{8458483A-823A-470D-92BB-55B7ABCC8CFA}"/>
    <cellStyle name="Įprastas 5 4 2 5 3 3" xfId="1973" xr:uid="{F1AB47E5-6909-4AA9-B858-49E6D55F4BE9}"/>
    <cellStyle name="Įprastas 5 4 2 5 3 3 2" xfId="5974" xr:uid="{95036935-FACC-4D57-8386-115C538286B0}"/>
    <cellStyle name="Įprastas 5 4 2 5 3 3 3" xfId="7702" xr:uid="{2272CFF7-9003-49F6-B29E-47BF8FDEB93C}"/>
    <cellStyle name="Įprastas 5 4 2 5 3 3 4" xfId="4246" xr:uid="{164BFB1E-93F2-4CEB-A2A4-13EFEE02FA21}"/>
    <cellStyle name="Įprastas 5 4 2 5 3 3_8 priedas" xfId="9857" xr:uid="{E8A9E82D-C458-4B07-AFB4-5324747BF794}"/>
    <cellStyle name="Įprastas 5 4 2 5 3 4" xfId="2517" xr:uid="{3B1F4440-DA00-4222-AD00-0233A820676F}"/>
    <cellStyle name="Įprastas 5 4 2 5 3 4 2" xfId="5110" xr:uid="{DB585B16-CE6D-4615-A746-0A6A400ADE12}"/>
    <cellStyle name="Įprastas 5 4 2 5 3 4_8 priedas" xfId="9858" xr:uid="{C5D683E1-1B12-48A7-BBF7-EEC4301BFB5C}"/>
    <cellStyle name="Įprastas 5 4 2 5 3 5" xfId="6838" xr:uid="{DEAF63B4-C4D6-4737-BEB0-9CC2A9078661}"/>
    <cellStyle name="Įprastas 5 4 2 5 3 6" xfId="3382" xr:uid="{BB537C13-6174-4379-9BCF-15BB0C1C09C8}"/>
    <cellStyle name="Įprastas 5 4 2 5 3_8 priedas" xfId="1023" xr:uid="{00000000-0005-0000-0000-0000D5030000}"/>
    <cellStyle name="Įprastas 5 4 2 5 4" xfId="581" xr:uid="{00000000-0005-0000-0000-0000D6030000}"/>
    <cellStyle name="Įprastas 5 4 2 5 4 2" xfId="1974" xr:uid="{6160363B-2A63-4C73-AEE1-FD24ED98AA54}"/>
    <cellStyle name="Įprastas 5 4 2 5 4 2 2" xfId="6186" xr:uid="{07848A34-7C96-4CD2-A507-768C54C2C20B}"/>
    <cellStyle name="Įprastas 5 4 2 5 4 2 3" xfId="7914" xr:uid="{903E45FE-8013-4B95-A643-965DA4A46C99}"/>
    <cellStyle name="Įprastas 5 4 2 5 4 2 4" xfId="4458" xr:uid="{6ADC56F8-61D5-47D8-83B1-26078A8917C6}"/>
    <cellStyle name="Įprastas 5 4 2 5 4 2_8 priedas" xfId="9860" xr:uid="{3C61D02A-B87F-46A9-A867-48B087D1D81B}"/>
    <cellStyle name="Įprastas 5 4 2 5 4 3" xfId="2729" xr:uid="{C08CAE31-5935-49A0-9B40-726B804BC7BD}"/>
    <cellStyle name="Įprastas 5 4 2 5 4 3 2" xfId="5322" xr:uid="{05FE935A-6F8F-474F-82A0-31D489B5DE50}"/>
    <cellStyle name="Įprastas 5 4 2 5 4 3_8 priedas" xfId="9861" xr:uid="{5815117A-E54B-41A5-8CF8-C7A5D0386F84}"/>
    <cellStyle name="Įprastas 5 4 2 5 4 4" xfId="7050" xr:uid="{D0828A00-9AC2-4BA6-8259-6E8E84AE9A9B}"/>
    <cellStyle name="Įprastas 5 4 2 5 4 5" xfId="3594" xr:uid="{0C1C0C53-6B7D-4708-B94B-002C120AAC0D}"/>
    <cellStyle name="Įprastas 5 4 2 5 4_8 priedas" xfId="9859" xr:uid="{578507F8-49DA-4949-A569-162A2E601CA2}"/>
    <cellStyle name="Įprastas 5 4 2 5 5" xfId="1975" xr:uid="{4B9515E0-85EA-468B-802A-7AB3BA3BAE6B}"/>
    <cellStyle name="Įprastas 5 4 2 5 5 2" xfId="5972" xr:uid="{5D4C6A68-DF42-4CAF-BEAA-8B32A696F029}"/>
    <cellStyle name="Įprastas 5 4 2 5 5 3" xfId="7700" xr:uid="{C705F8A7-AA38-4DAA-940A-FD857BB1C1D7}"/>
    <cellStyle name="Įprastas 5 4 2 5 5 4" xfId="4244" xr:uid="{674F238A-FA44-4DBB-8ECD-F93523162271}"/>
    <cellStyle name="Įprastas 5 4 2 5 5_8 priedas" xfId="9862" xr:uid="{F9EE187D-F991-48D3-BE9C-024CBA66A498}"/>
    <cellStyle name="Įprastas 5 4 2 5 6" xfId="2515" xr:uid="{6DAA0DB0-C244-4050-9D81-37804AA94359}"/>
    <cellStyle name="Įprastas 5 4 2 5 6 2" xfId="5108" xr:uid="{8AF6084A-25C7-4AC8-8572-6B049A1FD706}"/>
    <cellStyle name="Įprastas 5 4 2 5 6_8 priedas" xfId="9863" xr:uid="{FA859225-8F6C-4BBF-BCDE-6FDDC4701929}"/>
    <cellStyle name="Įprastas 5 4 2 5 7" xfId="6836" xr:uid="{72B16FD2-4E58-4830-8BC0-84AFC27825D6}"/>
    <cellStyle name="Įprastas 5 4 2 5 8" xfId="3380" xr:uid="{55D057C2-0578-4F91-95F8-D1FD1158C2E2}"/>
    <cellStyle name="Įprastas 5 4 2 5_8 priedas" xfId="1295" xr:uid="{00000000-0005-0000-0000-0000D7030000}"/>
    <cellStyle name="Įprastas 5 4 2 6" xfId="354" xr:uid="{00000000-0005-0000-0000-0000D8030000}"/>
    <cellStyle name="Įprastas 5 4 2 6 2" xfId="629" xr:uid="{00000000-0005-0000-0000-0000D9030000}"/>
    <cellStyle name="Įprastas 5 4 2 6 2 2" xfId="1976" xr:uid="{D2EF6BAD-B73C-4A56-A505-FF9B34253845}"/>
    <cellStyle name="Įprastas 5 4 2 6 2 2 2" xfId="6234" xr:uid="{88036C5D-8B10-4E7E-B7E4-75E428EF23EE}"/>
    <cellStyle name="Įprastas 5 4 2 6 2 2 3" xfId="7962" xr:uid="{614A543F-10CA-4DAF-99C9-C2B4E4A2D6EA}"/>
    <cellStyle name="Įprastas 5 4 2 6 2 2 4" xfId="4506" xr:uid="{ECDE1870-8F98-43E7-9473-9AFE4C761B89}"/>
    <cellStyle name="Įprastas 5 4 2 6 2 2_8 priedas" xfId="9865" xr:uid="{C32A6428-3A65-4673-9EFC-7C33B6A2B5FC}"/>
    <cellStyle name="Įprastas 5 4 2 6 2 3" xfId="2777" xr:uid="{0E6E8FBE-7414-4A1E-B68E-54AD1F380FDA}"/>
    <cellStyle name="Įprastas 5 4 2 6 2 3 2" xfId="5370" xr:uid="{627BE2BD-29B9-4250-AD62-3CCE5322B249}"/>
    <cellStyle name="Įprastas 5 4 2 6 2 3_8 priedas" xfId="9866" xr:uid="{01CD5FB1-DB3D-415C-A82E-12282FC9F2C2}"/>
    <cellStyle name="Įprastas 5 4 2 6 2 4" xfId="7098" xr:uid="{14E0AD1A-9691-45A7-9AE5-570EFE1E362A}"/>
    <cellStyle name="Įprastas 5 4 2 6 2 5" xfId="3642" xr:uid="{EB22F1D7-0157-4CDF-9F3E-01DB0853D498}"/>
    <cellStyle name="Įprastas 5 4 2 6 2_8 priedas" xfId="9864" xr:uid="{2B34DC05-1521-41A5-83F9-87F680F5F187}"/>
    <cellStyle name="Įprastas 5 4 2 6 3" xfId="1977" xr:uid="{14EA98EF-FE87-4FCF-AAC0-516AE68F2D99}"/>
    <cellStyle name="Įprastas 5 4 2 6 3 2" xfId="5975" xr:uid="{762D7CA2-91C7-44B5-8AAF-9987A19CB30D}"/>
    <cellStyle name="Įprastas 5 4 2 6 3 3" xfId="7703" xr:uid="{98833E18-EE68-4B27-BCDE-D0CC95F202D5}"/>
    <cellStyle name="Įprastas 5 4 2 6 3 4" xfId="4247" xr:uid="{DBBEFD68-BD61-46ED-9998-4155BCF535E8}"/>
    <cellStyle name="Įprastas 5 4 2 6 3_8 priedas" xfId="9867" xr:uid="{F7E3439A-BD18-47D9-A027-E11873483A9A}"/>
    <cellStyle name="Įprastas 5 4 2 6 4" xfId="2518" xr:uid="{9CCEAECB-CAEE-45D1-B8DB-84579DFCC066}"/>
    <cellStyle name="Įprastas 5 4 2 6 4 2" xfId="5111" xr:uid="{C90974A8-9EDF-4181-8776-A2C52ABCF9D8}"/>
    <cellStyle name="Įprastas 5 4 2 6 4_8 priedas" xfId="9868" xr:uid="{97B65797-3A88-434C-BE7A-BEE24B200E85}"/>
    <cellStyle name="Įprastas 5 4 2 6 5" xfId="6839" xr:uid="{D646E077-2DB2-402D-9724-F20225DFCC62}"/>
    <cellStyle name="Įprastas 5 4 2 6 6" xfId="3383" xr:uid="{ABCFAA11-BA9A-4BE4-B833-77178C92829C}"/>
    <cellStyle name="Įprastas 5 4 2 6_8 priedas" xfId="1248" xr:uid="{00000000-0005-0000-0000-0000DA030000}"/>
    <cellStyle name="Įprastas 5 4 2 7" xfId="355" xr:uid="{00000000-0005-0000-0000-0000DB030000}"/>
    <cellStyle name="Įprastas 5 4 2 7 2" xfId="773" xr:uid="{00000000-0005-0000-0000-0000DC030000}"/>
    <cellStyle name="Įprastas 5 4 2 7 2 2" xfId="1978" xr:uid="{DFAD9BD3-F38B-4055-8527-FF633CA8B7AC}"/>
    <cellStyle name="Įprastas 5 4 2 7 2 2 2" xfId="6378" xr:uid="{F4C6302F-2F50-4057-914E-CF26B1848CB6}"/>
    <cellStyle name="Įprastas 5 4 2 7 2 2 3" xfId="8106" xr:uid="{6F28398D-ADAE-4A97-B781-A309F46B344B}"/>
    <cellStyle name="Įprastas 5 4 2 7 2 2 4" xfId="4650" xr:uid="{06CB95E7-720A-4F41-BE9B-7670BF4B4E92}"/>
    <cellStyle name="Įprastas 5 4 2 7 2 2_8 priedas" xfId="9870" xr:uid="{66A4E701-5FA3-446B-BB08-A52D3138A566}"/>
    <cellStyle name="Įprastas 5 4 2 7 2 3" xfId="2921" xr:uid="{E69B9A6A-6815-46E1-85BB-8917BCE7B64D}"/>
    <cellStyle name="Įprastas 5 4 2 7 2 3 2" xfId="5514" xr:uid="{9A3729F4-4F0E-48B3-A6DC-EA5FEF08F73C}"/>
    <cellStyle name="Įprastas 5 4 2 7 2 3_8 priedas" xfId="9871" xr:uid="{2EF0667B-C984-432C-8FA5-0E1CAB2D9A71}"/>
    <cellStyle name="Įprastas 5 4 2 7 2 4" xfId="7242" xr:uid="{40E94F85-9AF8-4081-A484-CAEA4FE02D40}"/>
    <cellStyle name="Įprastas 5 4 2 7 2 5" xfId="3786" xr:uid="{A5F7D726-C1CA-4222-80BF-8D051300E054}"/>
    <cellStyle name="Įprastas 5 4 2 7 2_8 priedas" xfId="9869" xr:uid="{DCAF8F32-1B95-49DA-BE88-E7B913E2C998}"/>
    <cellStyle name="Įprastas 5 4 2 7 3" xfId="1979" xr:uid="{ED6E82F6-5211-4890-819F-833044E21BE7}"/>
    <cellStyle name="Įprastas 5 4 2 7 3 2" xfId="5976" xr:uid="{0E93FFFF-BF07-4358-B1DD-639E93841E0D}"/>
    <cellStyle name="Įprastas 5 4 2 7 3 3" xfId="7704" xr:uid="{FE9F53CB-4A82-4CDE-80A1-ABC9DA104B9C}"/>
    <cellStyle name="Įprastas 5 4 2 7 3 4" xfId="4248" xr:uid="{1575A404-21B4-464E-BA2C-0F7EA4568CF3}"/>
    <cellStyle name="Įprastas 5 4 2 7 3_8 priedas" xfId="9872" xr:uid="{9736C908-356B-472A-B22E-0EC093841114}"/>
    <cellStyle name="Įprastas 5 4 2 7 4" xfId="2519" xr:uid="{014ABEB8-71DC-41D3-AA68-8EA568CAD67D}"/>
    <cellStyle name="Įprastas 5 4 2 7 4 2" xfId="5112" xr:uid="{D1649794-D7BC-4F32-9E77-FE6DAE3ED254}"/>
    <cellStyle name="Įprastas 5 4 2 7 4_8 priedas" xfId="9873" xr:uid="{3E5594EB-81C0-4628-B060-1B7CE675A799}"/>
    <cellStyle name="Įprastas 5 4 2 7 5" xfId="6840" xr:uid="{2CD656A5-A13C-4822-A801-6240C94C85E2}"/>
    <cellStyle name="Įprastas 5 4 2 7 6" xfId="3384" xr:uid="{37878013-8876-4CE6-833B-654EBC96380F}"/>
    <cellStyle name="Įprastas 5 4 2 7_8 priedas" xfId="1115" xr:uid="{00000000-0005-0000-0000-0000DD030000}"/>
    <cellStyle name="Įprastas 5 4 2 8" xfId="485" xr:uid="{00000000-0005-0000-0000-0000DE030000}"/>
    <cellStyle name="Įprastas 5 4 2 8 2" xfId="1980" xr:uid="{D4C0A8A0-E52A-400C-BE4C-C3935AA70168}"/>
    <cellStyle name="Įprastas 5 4 2 8 2 2" xfId="6090" xr:uid="{23BFCA62-8FE2-4C5F-A35F-9EE6C7B1B6C4}"/>
    <cellStyle name="Įprastas 5 4 2 8 2 3" xfId="7818" xr:uid="{E655C7E9-4B3E-4DE0-B593-F6E6CDAE7DFB}"/>
    <cellStyle name="Įprastas 5 4 2 8 2 4" xfId="4362" xr:uid="{5DE9CDF3-5B0E-4CCE-9B0C-578E02AC4D7A}"/>
    <cellStyle name="Įprastas 5 4 2 8 2_8 priedas" xfId="9875" xr:uid="{0741DF95-93E5-441D-BA54-7846D55EA6FA}"/>
    <cellStyle name="Įprastas 5 4 2 8 3" xfId="2633" xr:uid="{B2668D53-2856-404D-8A05-1FD9E4EF73D6}"/>
    <cellStyle name="Įprastas 5 4 2 8 3 2" xfId="5226" xr:uid="{97CC7A17-014C-479B-BFC9-D491E7058C25}"/>
    <cellStyle name="Įprastas 5 4 2 8 3_8 priedas" xfId="9876" xr:uid="{8333A739-A450-4CE3-83E2-4E62FB89BA34}"/>
    <cellStyle name="Įprastas 5 4 2 8 4" xfId="6954" xr:uid="{8E70821A-69EA-49B4-B37F-FA288BFEFCEB}"/>
    <cellStyle name="Įprastas 5 4 2 8 5" xfId="3498" xr:uid="{F5A12F20-359A-4E9B-AD18-5AF2C787C3E3}"/>
    <cellStyle name="Įprastas 5 4 2 8_8 priedas" xfId="9874" xr:uid="{5DC30DB8-366F-4BA8-BD2A-689F28986C6B}"/>
    <cellStyle name="Įprastas 5 4 2 9" xfId="1981" xr:uid="{CCFC3E83-E424-4620-918B-D5B493B6980F}"/>
    <cellStyle name="Įprastas 5 4 2 9 2" xfId="5658" xr:uid="{22C9DADB-4C4F-43BF-8C31-E6F5A40C2896}"/>
    <cellStyle name="Įprastas 5 4 2 9 3" xfId="7386" xr:uid="{B7256802-1A4E-4AD6-8B67-5687A19A8AF6}"/>
    <cellStyle name="Įprastas 5 4 2 9 4" xfId="3930" xr:uid="{A7976FF8-953C-4E6D-8A76-4ADAB1274FA4}"/>
    <cellStyle name="Įprastas 5 4 2 9_8 priedas" xfId="9877" xr:uid="{778A210A-C8F6-4D68-B772-44AE92A2E99D}"/>
    <cellStyle name="Įprastas 5 4 2_8 priedas" xfId="320" xr:uid="{00000000-0005-0000-0000-0000DF030000}"/>
    <cellStyle name="Įprastas 5 4 3" xfId="356" xr:uid="{00000000-0005-0000-0000-0000E0030000}"/>
    <cellStyle name="Įprastas 5 4 3 10" xfId="6841" xr:uid="{96020E5B-9753-482D-852C-60499DF33A61}"/>
    <cellStyle name="Įprastas 5 4 3 11" xfId="3385" xr:uid="{DCF4D44E-553E-4260-9F22-6FCBF231F579}"/>
    <cellStyle name="Įprastas 5 4 3 2" xfId="357" xr:uid="{00000000-0005-0000-0000-0000E1030000}"/>
    <cellStyle name="Įprastas 5 4 3 2 10" xfId="3386" xr:uid="{E5E34A7A-18D5-4FBD-8F22-E4F8DE7742D8}"/>
    <cellStyle name="Įprastas 5 4 3 2 2" xfId="358" xr:uid="{00000000-0005-0000-0000-0000E2030000}"/>
    <cellStyle name="Įprastas 5 4 3 2 2 2" xfId="359" xr:uid="{00000000-0005-0000-0000-0000E3030000}"/>
    <cellStyle name="Įprastas 5 4 3 2 2 2 2" xfId="708" xr:uid="{00000000-0005-0000-0000-0000E4030000}"/>
    <cellStyle name="Įprastas 5 4 3 2 2 2 2 2" xfId="1982" xr:uid="{BA7E3B51-3F8D-4F07-98FD-3493166C56DC}"/>
    <cellStyle name="Įprastas 5 4 3 2 2 2 2 2 2" xfId="6313" xr:uid="{FB982991-D851-41BF-BDDB-117D41DBE156}"/>
    <cellStyle name="Įprastas 5 4 3 2 2 2 2 2 3" xfId="8041" xr:uid="{FABC1E0B-ED22-418C-9C46-C85589E1FE9F}"/>
    <cellStyle name="Įprastas 5 4 3 2 2 2 2 2 4" xfId="4585" xr:uid="{7616797C-9FDB-40E0-A68D-A468ADEA864B}"/>
    <cellStyle name="Įprastas 5 4 3 2 2 2 2 2_8 priedas" xfId="9879" xr:uid="{150D3C4B-87DA-40E1-A024-739FDAE64C7E}"/>
    <cellStyle name="Įprastas 5 4 3 2 2 2 2 3" xfId="2856" xr:uid="{3F6BCCFD-455C-4420-A690-C00E22167C51}"/>
    <cellStyle name="Įprastas 5 4 3 2 2 2 2 3 2" xfId="5449" xr:uid="{537F8785-5753-42A1-AB5C-BC6CB36FD4B5}"/>
    <cellStyle name="Įprastas 5 4 3 2 2 2 2 3_8 priedas" xfId="9880" xr:uid="{4D8A141D-237E-4DD0-80AE-B14ED965AA4C}"/>
    <cellStyle name="Įprastas 5 4 3 2 2 2 2 4" xfId="7177" xr:uid="{95990E14-9226-4B7A-9E73-1B5BD7CE2170}"/>
    <cellStyle name="Įprastas 5 4 3 2 2 2 2 5" xfId="3721" xr:uid="{386D403A-BE80-4A5F-B5FB-D4D9FE0CCCED}"/>
    <cellStyle name="Įprastas 5 4 3 2 2 2 2_8 priedas" xfId="9878" xr:uid="{AD42333F-D8D4-4E39-9DEA-547CFA1294E4}"/>
    <cellStyle name="Įprastas 5 4 3 2 2 2 3" xfId="1983" xr:uid="{B49F0455-AC77-48B7-A851-850B01D9A4A8}"/>
    <cellStyle name="Įprastas 5 4 3 2 2 2 3 2" xfId="5980" xr:uid="{602D6D76-04FF-4B24-806D-841E181C08CD}"/>
    <cellStyle name="Įprastas 5 4 3 2 2 2 3 3" xfId="7708" xr:uid="{1F72D9C3-BF92-4F0E-8D8B-700AFF941212}"/>
    <cellStyle name="Įprastas 5 4 3 2 2 2 3 4" xfId="4252" xr:uid="{F694ED25-E74A-4C55-BCD0-08B57A32CED9}"/>
    <cellStyle name="Įprastas 5 4 3 2 2 2 3_8 priedas" xfId="9881" xr:uid="{F23860C3-FF25-4552-B1E8-08711687C2EA}"/>
    <cellStyle name="Įprastas 5 4 3 2 2 2 4" xfId="2523" xr:uid="{5D95A899-B2D8-4381-A3A7-AF0E41F2047E}"/>
    <cellStyle name="Įprastas 5 4 3 2 2 2 4 2" xfId="5116" xr:uid="{0CA2CE9B-DBD0-4A54-99AD-40F1A3B44E59}"/>
    <cellStyle name="Įprastas 5 4 3 2 2 2 4_8 priedas" xfId="9882" xr:uid="{4667B34F-B8C5-4848-81EE-51690C5E2FFF}"/>
    <cellStyle name="Įprastas 5 4 3 2 2 2 5" xfId="6844" xr:uid="{8F89BB2B-B444-4AB4-B709-13FA1B6251DD}"/>
    <cellStyle name="Įprastas 5 4 3 2 2 2 6" xfId="3388" xr:uid="{8EC3302E-946A-4BE1-8417-DF87EC9FD3FC}"/>
    <cellStyle name="Įprastas 5 4 3 2 2 2_8 priedas" xfId="1182" xr:uid="{00000000-0005-0000-0000-0000E5030000}"/>
    <cellStyle name="Įprastas 5 4 3 2 2 3" xfId="360" xr:uid="{00000000-0005-0000-0000-0000E6030000}"/>
    <cellStyle name="Įprastas 5 4 3 2 2 3 2" xfId="852" xr:uid="{00000000-0005-0000-0000-0000E7030000}"/>
    <cellStyle name="Įprastas 5 4 3 2 2 3 2 2" xfId="1984" xr:uid="{808E199F-5C7B-4F78-8DA7-A9BD46A6C7C2}"/>
    <cellStyle name="Įprastas 5 4 3 2 2 3 2 2 2" xfId="6457" xr:uid="{92A565DC-A459-4728-A2EB-46C63CAD0278}"/>
    <cellStyle name="Įprastas 5 4 3 2 2 3 2 2 3" xfId="8185" xr:uid="{7627FA97-78BA-4C9F-8D4A-F80B37AB7926}"/>
    <cellStyle name="Įprastas 5 4 3 2 2 3 2 2 4" xfId="4729" xr:uid="{F328C6A5-1D1E-4FC0-8896-6AE6F53C5785}"/>
    <cellStyle name="Įprastas 5 4 3 2 2 3 2 2_8 priedas" xfId="9884" xr:uid="{951C06A6-6D09-4080-9C76-5C72EBE6B424}"/>
    <cellStyle name="Įprastas 5 4 3 2 2 3 2 3" xfId="3000" xr:uid="{2805EBA7-C56C-441A-96FB-9FC5B580C297}"/>
    <cellStyle name="Įprastas 5 4 3 2 2 3 2 3 2" xfId="5593" xr:uid="{FA87C648-15F8-42AF-A022-6ECE20E6A382}"/>
    <cellStyle name="Įprastas 5 4 3 2 2 3 2 3_8 priedas" xfId="9885" xr:uid="{87C52DA0-D9DD-4BD9-91E1-3E805EEE57F2}"/>
    <cellStyle name="Įprastas 5 4 3 2 2 3 2 4" xfId="7321" xr:uid="{34CEA578-5E8B-4E82-88BB-834925451ADA}"/>
    <cellStyle name="Įprastas 5 4 3 2 2 3 2 5" xfId="3865" xr:uid="{C5968D75-EAA4-4C82-BB59-33BF28FBDB59}"/>
    <cellStyle name="Įprastas 5 4 3 2 2 3 2_8 priedas" xfId="9883" xr:uid="{BF8F71F9-12B5-41EB-9FD0-A99385FAAD4B}"/>
    <cellStyle name="Įprastas 5 4 3 2 2 3 3" xfId="1985" xr:uid="{05BF0958-4127-4BD1-B465-4A0B741E8A7F}"/>
    <cellStyle name="Įprastas 5 4 3 2 2 3 3 2" xfId="5981" xr:uid="{D9DD4871-DB05-41C7-81F2-A34F26E3DACF}"/>
    <cellStyle name="Įprastas 5 4 3 2 2 3 3 3" xfId="7709" xr:uid="{CB8DB5AD-9C07-4069-8C02-C371BFCA4A7D}"/>
    <cellStyle name="Įprastas 5 4 3 2 2 3 3 4" xfId="4253" xr:uid="{3CB94572-1062-4256-BC30-52198AFD8A95}"/>
    <cellStyle name="Įprastas 5 4 3 2 2 3 3_8 priedas" xfId="9886" xr:uid="{4FC3CC05-64CB-4065-9BCF-7D5BDA5658B6}"/>
    <cellStyle name="Įprastas 5 4 3 2 2 3 4" xfId="2524" xr:uid="{1CFEEB64-EF30-4DC1-89BD-03A6F0D0D13A}"/>
    <cellStyle name="Įprastas 5 4 3 2 2 3 4 2" xfId="5117" xr:uid="{0E6AC8EF-EAEE-4F64-9A7C-97ADAD19DDD3}"/>
    <cellStyle name="Įprastas 5 4 3 2 2 3 4_8 priedas" xfId="9887" xr:uid="{03764C04-40F2-4B41-BC90-FF453C80FBFF}"/>
    <cellStyle name="Įprastas 5 4 3 2 2 3 5" xfId="6845" xr:uid="{D0999792-EB90-4A42-B9EF-FBE64EFCD415}"/>
    <cellStyle name="Įprastas 5 4 3 2 2 3 6" xfId="3389" xr:uid="{819AD726-717D-40E9-89C7-0A0453BC9664}"/>
    <cellStyle name="Įprastas 5 4 3 2 2 3_8 priedas" xfId="1046" xr:uid="{00000000-0005-0000-0000-0000E8030000}"/>
    <cellStyle name="Įprastas 5 4 3 2 2 4" xfId="564" xr:uid="{00000000-0005-0000-0000-0000E9030000}"/>
    <cellStyle name="Įprastas 5 4 3 2 2 4 2" xfId="1986" xr:uid="{BD2EE7DD-BFEF-40E6-826E-5A5240897BEC}"/>
    <cellStyle name="Įprastas 5 4 3 2 2 4 2 2" xfId="6169" xr:uid="{081FC9A2-D2A5-4103-9CCF-1A2DD66AF84D}"/>
    <cellStyle name="Įprastas 5 4 3 2 2 4 2 3" xfId="7897" xr:uid="{846D2C64-DD3F-4BF0-A927-8F437F313D9A}"/>
    <cellStyle name="Įprastas 5 4 3 2 2 4 2 4" xfId="4441" xr:uid="{53E11135-8369-481D-967E-70CAE32A5A18}"/>
    <cellStyle name="Įprastas 5 4 3 2 2 4 2_8 priedas" xfId="9889" xr:uid="{B721C166-587A-4538-B21F-61F2CD4709AE}"/>
    <cellStyle name="Įprastas 5 4 3 2 2 4 3" xfId="2712" xr:uid="{270E64AF-764E-460E-B3F7-A9D46C516FF1}"/>
    <cellStyle name="Įprastas 5 4 3 2 2 4 3 2" xfId="5305" xr:uid="{B2984960-6EF9-482F-939A-BB848BC5E0C5}"/>
    <cellStyle name="Įprastas 5 4 3 2 2 4 3_8 priedas" xfId="9890" xr:uid="{7F446A7C-0057-4C9A-B2F2-16CA2A5BBA67}"/>
    <cellStyle name="Įprastas 5 4 3 2 2 4 4" xfId="7033" xr:uid="{A9FB4DAC-E95E-4E96-904D-50C62A95FAC2}"/>
    <cellStyle name="Įprastas 5 4 3 2 2 4 5" xfId="3577" xr:uid="{71D087F7-F5FB-4EB0-965A-5D48AED1797E}"/>
    <cellStyle name="Įprastas 5 4 3 2 2 4_8 priedas" xfId="9888" xr:uid="{BD81F45C-F6DD-4B6B-A7C6-26486B77A191}"/>
    <cellStyle name="Įprastas 5 4 3 2 2 5" xfId="1987" xr:uid="{9CBE49D4-F8CA-4002-991F-5707428C8086}"/>
    <cellStyle name="Įprastas 5 4 3 2 2 5 2" xfId="5979" xr:uid="{7E38A830-019B-442D-ACF3-AE66C43F2616}"/>
    <cellStyle name="Įprastas 5 4 3 2 2 5 3" xfId="7707" xr:uid="{3FC67564-93DD-4987-A093-0CB97A210AA1}"/>
    <cellStyle name="Įprastas 5 4 3 2 2 5 4" xfId="4251" xr:uid="{437B59FE-88BF-4890-A7E9-B2BA27007A52}"/>
    <cellStyle name="Įprastas 5 4 3 2 2 5_8 priedas" xfId="9891" xr:uid="{2CE45410-98E4-40AA-9C26-29FA7A17E403}"/>
    <cellStyle name="Įprastas 5 4 3 2 2 6" xfId="2522" xr:uid="{DE626E1E-1A95-4495-9D52-BB8C8B69074F}"/>
    <cellStyle name="Įprastas 5 4 3 2 2 6 2" xfId="5115" xr:uid="{9551201A-9086-41DB-B7F8-1B4F12E0ED18}"/>
    <cellStyle name="Įprastas 5 4 3 2 2 6_8 priedas" xfId="9892" xr:uid="{2A305500-B3E4-4717-96EB-8E636D7ED34E}"/>
    <cellStyle name="Įprastas 5 4 3 2 2 7" xfId="6843" xr:uid="{B8FD9E61-C830-4437-AAED-5B158AF19511}"/>
    <cellStyle name="Įprastas 5 4 3 2 2 8" xfId="3387" xr:uid="{F6900BEE-A4B8-4B9D-BD4B-352942AE29FE}"/>
    <cellStyle name="Įprastas 5 4 3 2 2_8 priedas" xfId="1319" xr:uid="{00000000-0005-0000-0000-0000EA030000}"/>
    <cellStyle name="Įprastas 5 4 3 2 3" xfId="361" xr:uid="{00000000-0005-0000-0000-0000EB030000}"/>
    <cellStyle name="Įprastas 5 4 3 2 3 2" xfId="362" xr:uid="{00000000-0005-0000-0000-0000EC030000}"/>
    <cellStyle name="Įprastas 5 4 3 2 3 2 2" xfId="756" xr:uid="{00000000-0005-0000-0000-0000ED030000}"/>
    <cellStyle name="Įprastas 5 4 3 2 3 2 2 2" xfId="1988" xr:uid="{C9F7D93E-1F03-4BC7-B72D-AD1016604FCF}"/>
    <cellStyle name="Įprastas 5 4 3 2 3 2 2 2 2" xfId="6361" xr:uid="{84E4CF77-073F-4178-9C57-027103C4CCED}"/>
    <cellStyle name="Įprastas 5 4 3 2 3 2 2 2 3" xfId="8089" xr:uid="{F408B58E-86C9-4487-A819-AAFA1A01C9CF}"/>
    <cellStyle name="Įprastas 5 4 3 2 3 2 2 2 4" xfId="4633" xr:uid="{C4F34D43-F609-4C5B-8162-8E2530A9A04C}"/>
    <cellStyle name="Įprastas 5 4 3 2 3 2 2 2_8 priedas" xfId="9894" xr:uid="{DDA30FF4-1062-4B3A-A118-7DE2F4041967}"/>
    <cellStyle name="Įprastas 5 4 3 2 3 2 2 3" xfId="2904" xr:uid="{C4360B5C-A4DF-4601-9C93-C94243B84FCE}"/>
    <cellStyle name="Įprastas 5 4 3 2 3 2 2 3 2" xfId="5497" xr:uid="{2364A247-466C-47FA-8A2A-56568D6366D5}"/>
    <cellStyle name="Įprastas 5 4 3 2 3 2 2 3_8 priedas" xfId="9895" xr:uid="{A6211750-F43B-466B-91DB-9B0155A57732}"/>
    <cellStyle name="Įprastas 5 4 3 2 3 2 2 4" xfId="7225" xr:uid="{88030501-D80F-43D0-AE91-DD3DA70346F1}"/>
    <cellStyle name="Įprastas 5 4 3 2 3 2 2 5" xfId="3769" xr:uid="{588BCEFC-B131-4D29-BA12-DF7DB0BB35DF}"/>
    <cellStyle name="Įprastas 5 4 3 2 3 2 2_8 priedas" xfId="9893" xr:uid="{BE55AF5A-A66B-46BB-BC47-6F38A5BAF9BF}"/>
    <cellStyle name="Įprastas 5 4 3 2 3 2 3" xfId="1989" xr:uid="{38A27C25-64D3-4EC2-9414-691B92F7BE52}"/>
    <cellStyle name="Įprastas 5 4 3 2 3 2 3 2" xfId="5983" xr:uid="{EF4E9863-E856-4CA6-B67B-F96B1FBFB765}"/>
    <cellStyle name="Įprastas 5 4 3 2 3 2 3 3" xfId="7711" xr:uid="{B27ECAC4-03E9-4159-94DA-1CB9A91CF3B7}"/>
    <cellStyle name="Įprastas 5 4 3 2 3 2 3 4" xfId="4255" xr:uid="{C7C95152-69A5-4E13-B48B-22509A17D33E}"/>
    <cellStyle name="Įprastas 5 4 3 2 3 2 3_8 priedas" xfId="9896" xr:uid="{9B682DF2-0871-421D-A6F5-70675E89FD4D}"/>
    <cellStyle name="Įprastas 5 4 3 2 3 2 4" xfId="2526" xr:uid="{2E84284E-CD70-44EA-B15F-E0364B47665E}"/>
    <cellStyle name="Įprastas 5 4 3 2 3 2 4 2" xfId="5119" xr:uid="{E498F0BB-285A-4E4E-880D-57B2259F490D}"/>
    <cellStyle name="Įprastas 5 4 3 2 3 2 4_8 priedas" xfId="9897" xr:uid="{9CD51DEF-46A7-4F41-8D12-C469F50DE6B9}"/>
    <cellStyle name="Įprastas 5 4 3 2 3 2 5" xfId="6847" xr:uid="{210BED2C-5DE6-4A93-B7D6-50F48691A701}"/>
    <cellStyle name="Įprastas 5 4 3 2 3 2 6" xfId="3391" xr:uid="{870646E8-944F-4950-B63A-3E7E122937B5}"/>
    <cellStyle name="Įprastas 5 4 3 2 3 2_8 priedas" xfId="1134" xr:uid="{00000000-0005-0000-0000-0000EE030000}"/>
    <cellStyle name="Įprastas 5 4 3 2 3 3" xfId="363" xr:uid="{00000000-0005-0000-0000-0000EF030000}"/>
    <cellStyle name="Įprastas 5 4 3 2 3 3 2" xfId="900" xr:uid="{00000000-0005-0000-0000-0000F0030000}"/>
    <cellStyle name="Įprastas 5 4 3 2 3 3 2 2" xfId="1990" xr:uid="{4D8CEC41-6221-4132-BE2A-E9C00EC4C4E4}"/>
    <cellStyle name="Įprastas 5 4 3 2 3 3 2 2 2" xfId="6505" xr:uid="{02175600-B84A-4325-B5B5-7479FC04A56F}"/>
    <cellStyle name="Įprastas 5 4 3 2 3 3 2 2 3" xfId="8233" xr:uid="{AFBCC905-2575-42FD-BB5A-D99F947E05F1}"/>
    <cellStyle name="Įprastas 5 4 3 2 3 3 2 2 4" xfId="4777" xr:uid="{ACC04495-7453-4C50-8C76-EA543638A3B2}"/>
    <cellStyle name="Įprastas 5 4 3 2 3 3 2 2_8 priedas" xfId="9899" xr:uid="{8E9540C8-7DB5-4451-940A-AFA32927A1C8}"/>
    <cellStyle name="Įprastas 5 4 3 2 3 3 2 3" xfId="3048" xr:uid="{186642ED-56DD-4FE6-8812-68E579555F98}"/>
    <cellStyle name="Įprastas 5 4 3 2 3 3 2 3 2" xfId="5641" xr:uid="{A4506465-906C-4015-802B-A2957B023230}"/>
    <cellStyle name="Įprastas 5 4 3 2 3 3 2 3_8 priedas" xfId="9900" xr:uid="{5467480D-ABF1-4AF8-98F2-488231E95FAA}"/>
    <cellStyle name="Įprastas 5 4 3 2 3 3 2 4" xfId="7369" xr:uid="{E14BDF93-A74E-4040-9752-F6CE26FCA865}"/>
    <cellStyle name="Įprastas 5 4 3 2 3 3 2 5" xfId="3913" xr:uid="{C408D153-6548-44DE-9E4C-6A1364A36306}"/>
    <cellStyle name="Įprastas 5 4 3 2 3 3 2_8 priedas" xfId="9898" xr:uid="{A1064DCA-8FFE-4F81-9825-3007CA530379}"/>
    <cellStyle name="Įprastas 5 4 3 2 3 3 3" xfId="1991" xr:uid="{06D11243-8404-494B-975E-EC994B316A07}"/>
    <cellStyle name="Įprastas 5 4 3 2 3 3 3 2" xfId="5984" xr:uid="{EEA0FA12-D12C-4C0F-B52A-60EDBD23AE21}"/>
    <cellStyle name="Įprastas 5 4 3 2 3 3 3 3" xfId="7712" xr:uid="{75A6A1FD-67E7-4B2E-9517-480C5DBA5482}"/>
    <cellStyle name="Įprastas 5 4 3 2 3 3 3 4" xfId="4256" xr:uid="{05210810-9D2B-4DF4-A31A-BF27FAAF94CB}"/>
    <cellStyle name="Įprastas 5 4 3 2 3 3 3_8 priedas" xfId="9901" xr:uid="{D008B273-7984-4654-8459-D12E21670358}"/>
    <cellStyle name="Įprastas 5 4 3 2 3 3 4" xfId="2527" xr:uid="{9C935C23-3A08-40CA-ADA7-3E193BFCAB2B}"/>
    <cellStyle name="Įprastas 5 4 3 2 3 3 4 2" xfId="5120" xr:uid="{A45AFA0D-23A5-40EB-9B0B-A7796E6F78CB}"/>
    <cellStyle name="Įprastas 5 4 3 2 3 3 4_8 priedas" xfId="9902" xr:uid="{112C2747-0C0D-4516-8ECB-8DF595F3B4A8}"/>
    <cellStyle name="Įprastas 5 4 3 2 3 3 5" xfId="6848" xr:uid="{EF6C06C4-9BB5-41EB-B7BB-96C95356BD8A}"/>
    <cellStyle name="Įprastas 5 4 3 2 3 3 6" xfId="3392" xr:uid="{3CC464AA-729B-4178-9AD3-8AE01B648E85}"/>
    <cellStyle name="Įprastas 5 4 3 2 3 3_8 priedas" xfId="998" xr:uid="{00000000-0005-0000-0000-0000F1030000}"/>
    <cellStyle name="Įprastas 5 4 3 2 3 4" xfId="612" xr:uid="{00000000-0005-0000-0000-0000F2030000}"/>
    <cellStyle name="Įprastas 5 4 3 2 3 4 2" xfId="1992" xr:uid="{21453BD4-EE03-485D-9FDC-C10410EB0195}"/>
    <cellStyle name="Įprastas 5 4 3 2 3 4 2 2" xfId="6217" xr:uid="{9C1FFCDE-0983-498F-A27D-9B64731073CF}"/>
    <cellStyle name="Įprastas 5 4 3 2 3 4 2 3" xfId="7945" xr:uid="{BD965B92-9EA1-4503-A75F-81DEA83FDC3E}"/>
    <cellStyle name="Įprastas 5 4 3 2 3 4 2 4" xfId="4489" xr:uid="{539521DF-FF6B-4B52-8119-0FEF6662ABDC}"/>
    <cellStyle name="Įprastas 5 4 3 2 3 4 2_8 priedas" xfId="9904" xr:uid="{95F96A88-2C2E-46D1-9DA8-88B37B17F8D3}"/>
    <cellStyle name="Įprastas 5 4 3 2 3 4 3" xfId="2760" xr:uid="{672BDF8D-0A79-4F9C-9D45-7B16153F31F5}"/>
    <cellStyle name="Įprastas 5 4 3 2 3 4 3 2" xfId="5353" xr:uid="{EB4CC9A6-5F3B-4AEB-833C-B45C6D159FDF}"/>
    <cellStyle name="Įprastas 5 4 3 2 3 4 3_8 priedas" xfId="9905" xr:uid="{DFC4E327-DA80-401E-B3F9-7E36FE7F9A62}"/>
    <cellStyle name="Įprastas 5 4 3 2 3 4 4" xfId="7081" xr:uid="{02ABE0CF-F584-4226-A352-7BC3219A1A0D}"/>
    <cellStyle name="Įprastas 5 4 3 2 3 4 5" xfId="3625" xr:uid="{68BC8A5C-351F-429B-ACB5-C2D8A2EFF064}"/>
    <cellStyle name="Įprastas 5 4 3 2 3 4_8 priedas" xfId="9903" xr:uid="{BD31C724-0FA0-44AD-9943-EB69C9379D85}"/>
    <cellStyle name="Įprastas 5 4 3 2 3 5" xfId="1993" xr:uid="{7F11FC1D-AE70-444B-BB88-282551CEFCF6}"/>
    <cellStyle name="Įprastas 5 4 3 2 3 5 2" xfId="5982" xr:uid="{481C39D5-287D-4981-AF99-E7E7FD265EB6}"/>
    <cellStyle name="Įprastas 5 4 3 2 3 5 3" xfId="7710" xr:uid="{9C96A04B-DF75-4C3F-AF89-61133AEF65E3}"/>
    <cellStyle name="Įprastas 5 4 3 2 3 5 4" xfId="4254" xr:uid="{82A99CE5-B725-48F0-9A3C-CBFC621F5AAB}"/>
    <cellStyle name="Įprastas 5 4 3 2 3 5_8 priedas" xfId="9906" xr:uid="{8EA1E29A-728B-4FCD-825A-0A9B29386562}"/>
    <cellStyle name="Įprastas 5 4 3 2 3 6" xfId="2525" xr:uid="{9ABE4AD4-27A3-467D-97E3-7BA24942353C}"/>
    <cellStyle name="Įprastas 5 4 3 2 3 6 2" xfId="5118" xr:uid="{B3EC25A2-953F-48A5-AF19-DBA5CD469FEE}"/>
    <cellStyle name="Įprastas 5 4 3 2 3 6_8 priedas" xfId="9907" xr:uid="{689C4A4E-38E5-479C-8230-32F51D065D4B}"/>
    <cellStyle name="Įprastas 5 4 3 2 3 7" xfId="6846" xr:uid="{E29FEF28-D724-495E-82C0-DA9C83A2402E}"/>
    <cellStyle name="Įprastas 5 4 3 2 3 8" xfId="3390" xr:uid="{75F9388C-C6C4-44B7-9E4F-7C3EC2643217}"/>
    <cellStyle name="Įprastas 5 4 3 2 3_8 priedas" xfId="1270" xr:uid="{00000000-0005-0000-0000-0000F3030000}"/>
    <cellStyle name="Įprastas 5 4 3 2 4" xfId="364" xr:uid="{00000000-0005-0000-0000-0000F4030000}"/>
    <cellStyle name="Įprastas 5 4 3 2 4 2" xfId="660" xr:uid="{00000000-0005-0000-0000-0000F5030000}"/>
    <cellStyle name="Įprastas 5 4 3 2 4 2 2" xfId="1994" xr:uid="{F393FB53-CD69-4444-AFE7-BDFF03A1D19B}"/>
    <cellStyle name="Įprastas 5 4 3 2 4 2 2 2" xfId="6265" xr:uid="{18308687-07DD-4267-A3EC-AB52C1D20FF4}"/>
    <cellStyle name="Įprastas 5 4 3 2 4 2 2 3" xfId="7993" xr:uid="{4206EEBA-AE8D-4854-A41D-A5C37EC27FA4}"/>
    <cellStyle name="Įprastas 5 4 3 2 4 2 2 4" xfId="4537" xr:uid="{2DEA5CE8-77E4-44E7-8F8C-262286ADE377}"/>
    <cellStyle name="Įprastas 5 4 3 2 4 2 2_8 priedas" xfId="9909" xr:uid="{53B06CBD-847A-4BF2-8147-66952044DA67}"/>
    <cellStyle name="Įprastas 5 4 3 2 4 2 3" xfId="2808" xr:uid="{E4723A0D-AA47-4F0C-A520-1E2E1883F8E1}"/>
    <cellStyle name="Įprastas 5 4 3 2 4 2 3 2" xfId="5401" xr:uid="{3AE7D37F-E64F-45B3-9653-F5A0EEBC8DC1}"/>
    <cellStyle name="Įprastas 5 4 3 2 4 2 3_8 priedas" xfId="9910" xr:uid="{EF32BEE2-15B6-490F-BB5B-914B0334890C}"/>
    <cellStyle name="Įprastas 5 4 3 2 4 2 4" xfId="7129" xr:uid="{E10539EA-9D2F-4F99-80C0-5067497B9623}"/>
    <cellStyle name="Įprastas 5 4 3 2 4 2 5" xfId="3673" xr:uid="{35180943-E086-4319-9F01-36C3F864901A}"/>
    <cellStyle name="Įprastas 5 4 3 2 4 2_8 priedas" xfId="9908" xr:uid="{B0F705CF-6245-4DCE-8B99-F9309CC00F62}"/>
    <cellStyle name="Įprastas 5 4 3 2 4 3" xfId="1995" xr:uid="{E0FA019F-5792-422A-B149-2802940BB97E}"/>
    <cellStyle name="Įprastas 5 4 3 2 4 3 2" xfId="5985" xr:uid="{4BA9DBEF-B980-44A9-AC0F-3B0D2D359B1C}"/>
    <cellStyle name="Įprastas 5 4 3 2 4 3 3" xfId="7713" xr:uid="{61550295-FFAA-4D71-8487-6E34ACCA9239}"/>
    <cellStyle name="Įprastas 5 4 3 2 4 3 4" xfId="4257" xr:uid="{1D1477CF-C5FF-48D4-A96E-E8171A1E3A3E}"/>
    <cellStyle name="Įprastas 5 4 3 2 4 3_8 priedas" xfId="9911" xr:uid="{B1F3D609-B93D-412A-BD71-0C8AEE69E991}"/>
    <cellStyle name="Įprastas 5 4 3 2 4 4" xfId="2528" xr:uid="{14EBC99B-6332-4343-A131-55A5512E5D89}"/>
    <cellStyle name="Įprastas 5 4 3 2 4 4 2" xfId="5121" xr:uid="{B9E1E94F-D9CE-4624-84AE-B69C658875DE}"/>
    <cellStyle name="Įprastas 5 4 3 2 4 4_8 priedas" xfId="9912" xr:uid="{270EC897-9ECB-4B80-B98A-C3958544B4AC}"/>
    <cellStyle name="Įprastas 5 4 3 2 4 5" xfId="6849" xr:uid="{FA815121-2EA7-433A-B6E0-11DA8AACB983}"/>
    <cellStyle name="Įprastas 5 4 3 2 4 6" xfId="3393" xr:uid="{589C64D4-6B58-42A9-A31D-B117B2C63C53}"/>
    <cellStyle name="Įprastas 5 4 3 2 4_8 priedas" xfId="957" xr:uid="{00000000-0005-0000-0000-0000F6030000}"/>
    <cellStyle name="Įprastas 5 4 3 2 5" xfId="365" xr:uid="{00000000-0005-0000-0000-0000F7030000}"/>
    <cellStyle name="Įprastas 5 4 3 2 5 2" xfId="804" xr:uid="{00000000-0005-0000-0000-0000F8030000}"/>
    <cellStyle name="Įprastas 5 4 3 2 5 2 2" xfId="1996" xr:uid="{70241A55-5135-4209-B7FE-4A212C45D960}"/>
    <cellStyle name="Įprastas 5 4 3 2 5 2 2 2" xfId="6409" xr:uid="{FB7B8BFC-B1E1-4DBD-BF6F-65CA5685C1E6}"/>
    <cellStyle name="Įprastas 5 4 3 2 5 2 2 3" xfId="8137" xr:uid="{590393DC-DB75-4C7F-AEB9-FE8DA3D946CA}"/>
    <cellStyle name="Įprastas 5 4 3 2 5 2 2 4" xfId="4681" xr:uid="{7B2EBEAD-386D-47FE-A91A-2177393AD31F}"/>
    <cellStyle name="Įprastas 5 4 3 2 5 2 2_8 priedas" xfId="9914" xr:uid="{EAABFA3F-89B6-4A8E-88F1-AE6F40282302}"/>
    <cellStyle name="Įprastas 5 4 3 2 5 2 3" xfId="2952" xr:uid="{EB3FCFAF-0E27-4584-B010-E1B373E7B1D2}"/>
    <cellStyle name="Įprastas 5 4 3 2 5 2 3 2" xfId="5545" xr:uid="{52F003F8-87A9-47BD-B346-5AA3443B5489}"/>
    <cellStyle name="Įprastas 5 4 3 2 5 2 3_8 priedas" xfId="9915" xr:uid="{E32E4534-B789-4CC8-A2AB-8E11CB3F5B9A}"/>
    <cellStyle name="Įprastas 5 4 3 2 5 2 4" xfId="7273" xr:uid="{0C72D6C5-5F71-4037-A9E8-BE0A99793FAC}"/>
    <cellStyle name="Įprastas 5 4 3 2 5 2 5" xfId="3817" xr:uid="{41CBC018-1BBE-4FFC-AFD5-71476F3FAF12}"/>
    <cellStyle name="Įprastas 5 4 3 2 5 2_8 priedas" xfId="9913" xr:uid="{02A98881-5167-473F-A452-4741DB03FBD6}"/>
    <cellStyle name="Įprastas 5 4 3 2 5 3" xfId="1997" xr:uid="{61D686E2-CB61-487E-9B7B-44034E1E9543}"/>
    <cellStyle name="Įprastas 5 4 3 2 5 3 2" xfId="5986" xr:uid="{93A9DE45-5107-4D71-A115-AB9665B53170}"/>
    <cellStyle name="Įprastas 5 4 3 2 5 3 3" xfId="7714" xr:uid="{8AC6007C-EC92-46C3-9524-FB55598C2B89}"/>
    <cellStyle name="Įprastas 5 4 3 2 5 3 4" xfId="4258" xr:uid="{E2381450-5043-4E32-AB3C-FDA5A4923500}"/>
    <cellStyle name="Įprastas 5 4 3 2 5 3_8 priedas" xfId="9916" xr:uid="{1101EA0C-3B15-4C80-A5E8-3B5253E2E469}"/>
    <cellStyle name="Įprastas 5 4 3 2 5 4" xfId="2529" xr:uid="{DC588C51-5981-4D4C-9D15-88F99B0A552F}"/>
    <cellStyle name="Įprastas 5 4 3 2 5 4 2" xfId="5122" xr:uid="{5DCA558D-17E8-478B-BBF6-A55A143C3E80}"/>
    <cellStyle name="Įprastas 5 4 3 2 5 4_8 priedas" xfId="9917" xr:uid="{DFC0B73A-213A-44CD-987F-288690984070}"/>
    <cellStyle name="Įprastas 5 4 3 2 5 5" xfId="6850" xr:uid="{D9C9F5BF-3D4D-483F-8931-9A1ED72AF0FC}"/>
    <cellStyle name="Įprastas 5 4 3 2 5 6" xfId="3394" xr:uid="{4039A1E7-C6AF-4384-BEA5-157864ADD510}"/>
    <cellStyle name="Įprastas 5 4 3 2 5_8 priedas" xfId="928" xr:uid="{00000000-0005-0000-0000-0000F9030000}"/>
    <cellStyle name="Įprastas 5 4 3 2 6" xfId="516" xr:uid="{00000000-0005-0000-0000-0000FA030000}"/>
    <cellStyle name="Įprastas 5 4 3 2 6 2" xfId="1998" xr:uid="{F74B9A3C-A754-48E8-A93B-7BA2D532FBEA}"/>
    <cellStyle name="Įprastas 5 4 3 2 6 2 2" xfId="6121" xr:uid="{1552BDA2-4FEA-4232-BB80-2CF64E2DF4CC}"/>
    <cellStyle name="Įprastas 5 4 3 2 6 2 3" xfId="7849" xr:uid="{3C8D6081-24D7-40E7-9FA1-7AD4586FE4BD}"/>
    <cellStyle name="Įprastas 5 4 3 2 6 2 4" xfId="4393" xr:uid="{1D404AD6-5ACD-4591-A766-74D5058AB06F}"/>
    <cellStyle name="Įprastas 5 4 3 2 6 2_8 priedas" xfId="9919" xr:uid="{13E59939-3EF7-4047-94AB-5F590C559CF5}"/>
    <cellStyle name="Įprastas 5 4 3 2 6 3" xfId="2664" xr:uid="{6A32B253-206C-4BA9-AB5C-C6EFE05FA635}"/>
    <cellStyle name="Įprastas 5 4 3 2 6 3 2" xfId="5257" xr:uid="{9863FC8D-958C-4381-9750-0244E26245A4}"/>
    <cellStyle name="Įprastas 5 4 3 2 6 3_8 priedas" xfId="9920" xr:uid="{7387A082-1198-46D9-90DD-1FCE8CFBC2E4}"/>
    <cellStyle name="Įprastas 5 4 3 2 6 4" xfId="6985" xr:uid="{EB18A68A-20BE-45D2-BAB7-DF923F9EEB59}"/>
    <cellStyle name="Įprastas 5 4 3 2 6 5" xfId="3529" xr:uid="{433B20EF-C8CB-49D8-B915-89FF7157D6F6}"/>
    <cellStyle name="Įprastas 5 4 3 2 6_8 priedas" xfId="9918" xr:uid="{1E82E0C4-106E-46CA-98BA-1B455633E7E3}"/>
    <cellStyle name="Įprastas 5 4 3 2 7" xfId="1999" xr:uid="{B81E7781-D980-482F-B63A-851A898FF108}"/>
    <cellStyle name="Įprastas 5 4 3 2 7 2" xfId="5978" xr:uid="{CFBBBF92-A6B3-4552-BAB2-B8E9313BB88B}"/>
    <cellStyle name="Įprastas 5 4 3 2 7 3" xfId="7706" xr:uid="{AA995E31-D8B3-48E0-B35C-5C6BDACA3CFF}"/>
    <cellStyle name="Įprastas 5 4 3 2 7 4" xfId="4250" xr:uid="{C36871C6-8916-4461-8C81-B12F669ED620}"/>
    <cellStyle name="Įprastas 5 4 3 2 7_8 priedas" xfId="9921" xr:uid="{A6E896AE-7073-4E6A-9EB6-70A013F37458}"/>
    <cellStyle name="Įprastas 5 4 3 2 8" xfId="2521" xr:uid="{DC0AB97D-A8A4-442F-98FE-F753AA3E8729}"/>
    <cellStyle name="Įprastas 5 4 3 2 8 2" xfId="5114" xr:uid="{EC2FC44C-E1D2-4AB3-BC6B-0DBA43AF54FD}"/>
    <cellStyle name="Įprastas 5 4 3 2 8_8 priedas" xfId="9922" xr:uid="{FFA15F50-0E89-4226-A615-B9FD009E7DE0}"/>
    <cellStyle name="Įprastas 5 4 3 2 9" xfId="6842" xr:uid="{97932429-7DD9-437B-AAA4-1A825D806860}"/>
    <cellStyle name="Įprastas 5 4 3 2_8 priedas" xfId="1094" xr:uid="{00000000-0005-0000-0000-0000FB030000}"/>
    <cellStyle name="Įprastas 5 4 3 3" xfId="366" xr:uid="{00000000-0005-0000-0000-0000FC030000}"/>
    <cellStyle name="Įprastas 5 4 3 3 2" xfId="367" xr:uid="{00000000-0005-0000-0000-0000FD030000}"/>
    <cellStyle name="Įprastas 5 4 3 3 2 2" xfId="684" xr:uid="{00000000-0005-0000-0000-0000FE030000}"/>
    <cellStyle name="Įprastas 5 4 3 3 2 2 2" xfId="2000" xr:uid="{FBD4B9FA-B7FA-4CCA-B25E-5A612254E3F2}"/>
    <cellStyle name="Įprastas 5 4 3 3 2 2 2 2" xfId="6289" xr:uid="{C5EC37F5-E26B-4B01-897B-F8F2FF7C8022}"/>
    <cellStyle name="Įprastas 5 4 3 3 2 2 2 3" xfId="8017" xr:uid="{AC8BC737-B08A-48DF-95D8-356776B6E71B}"/>
    <cellStyle name="Įprastas 5 4 3 3 2 2 2 4" xfId="4561" xr:uid="{519D987D-DE28-45F1-BBB4-2FC25B108534}"/>
    <cellStyle name="Įprastas 5 4 3 3 2 2 2_8 priedas" xfId="9924" xr:uid="{66B3161F-B624-4C9E-AE69-ABB0F292DE63}"/>
    <cellStyle name="Įprastas 5 4 3 3 2 2 3" xfId="2832" xr:uid="{37D5D37E-3C76-4C41-BB2D-A6419065884B}"/>
    <cellStyle name="Įprastas 5 4 3 3 2 2 3 2" xfId="5425" xr:uid="{0BED33B7-BFCD-4A11-B7EE-66E4C4CB8D35}"/>
    <cellStyle name="Įprastas 5 4 3 3 2 2 3_8 priedas" xfId="9925" xr:uid="{CA2B8A2B-DD10-43C0-9588-7C4C862CFE03}"/>
    <cellStyle name="Įprastas 5 4 3 3 2 2 4" xfId="7153" xr:uid="{74C38BB3-04E8-42EE-BD04-18FC49F6E576}"/>
    <cellStyle name="Įprastas 5 4 3 3 2 2 5" xfId="3697" xr:uid="{4E80094E-CBC4-4C58-9A19-797AD587844E}"/>
    <cellStyle name="Įprastas 5 4 3 3 2 2_8 priedas" xfId="9923" xr:uid="{C5A00A54-12FA-40C4-84B4-D14A2F4C628C}"/>
    <cellStyle name="Įprastas 5 4 3 3 2 3" xfId="2001" xr:uid="{FBCB20C6-BBE8-4262-908B-3FF6F2A79BC5}"/>
    <cellStyle name="Įprastas 5 4 3 3 2 3 2" xfId="5988" xr:uid="{EB3E06F9-4880-46C1-87CB-F10FC0EA7329}"/>
    <cellStyle name="Įprastas 5 4 3 3 2 3 3" xfId="7716" xr:uid="{CEF64A24-F7EB-4EDC-9FE1-5C3611F9DE83}"/>
    <cellStyle name="Įprastas 5 4 3 3 2 3 4" xfId="4260" xr:uid="{F11A5011-6CFF-498A-A1E4-C84D8CCC987A}"/>
    <cellStyle name="Įprastas 5 4 3 3 2 3_8 priedas" xfId="9926" xr:uid="{9748EDE2-A4AF-41FF-9E5A-88D8B735A547}"/>
    <cellStyle name="Įprastas 5 4 3 3 2 4" xfId="2531" xr:uid="{D9F3CE45-F7A4-484B-B472-11A10F97E2A2}"/>
    <cellStyle name="Įprastas 5 4 3 3 2 4 2" xfId="5124" xr:uid="{5EE1A6AB-4CEE-4310-AC66-C6DBB5CD6A97}"/>
    <cellStyle name="Įprastas 5 4 3 3 2 4_8 priedas" xfId="9927" xr:uid="{40B01975-85B5-4AF9-BE5D-6388C0AFFE18}"/>
    <cellStyle name="Įprastas 5 4 3 3 2 5" xfId="6852" xr:uid="{309BD51F-2B6B-4B46-9A51-9E276BE3F84E}"/>
    <cellStyle name="Įprastas 5 4 3 3 2 6" xfId="3396" xr:uid="{8ED6728A-214D-49EA-8114-151E21749CA3}"/>
    <cellStyle name="Įprastas 5 4 3 3 2_8 priedas" xfId="1200" xr:uid="{00000000-0005-0000-0000-0000FF030000}"/>
    <cellStyle name="Įprastas 5 4 3 3 3" xfId="368" xr:uid="{00000000-0005-0000-0000-000000040000}"/>
    <cellStyle name="Įprastas 5 4 3 3 3 2" xfId="828" xr:uid="{00000000-0005-0000-0000-000001040000}"/>
    <cellStyle name="Įprastas 5 4 3 3 3 2 2" xfId="2002" xr:uid="{FDACD49D-A6C2-449F-8A33-CAABCA33836D}"/>
    <cellStyle name="Įprastas 5 4 3 3 3 2 2 2" xfId="6433" xr:uid="{5A79B3CC-223B-4768-A074-346FB255E653}"/>
    <cellStyle name="Įprastas 5 4 3 3 3 2 2 3" xfId="8161" xr:uid="{16F7D132-52CA-457A-9C82-6AB88C010B03}"/>
    <cellStyle name="Įprastas 5 4 3 3 3 2 2 4" xfId="4705" xr:uid="{8CC6DF0C-D115-4E96-BD96-3283E3FB27AF}"/>
    <cellStyle name="Įprastas 5 4 3 3 3 2 2_8 priedas" xfId="9929" xr:uid="{D1309B11-BD7A-473D-A14F-A22C6905B7AB}"/>
    <cellStyle name="Įprastas 5 4 3 3 3 2 3" xfId="2976" xr:uid="{17FDD2D8-73EA-40FE-B9EE-91B09116FF2B}"/>
    <cellStyle name="Įprastas 5 4 3 3 3 2 3 2" xfId="5569" xr:uid="{50A06FEC-F0BF-45B3-9996-41C98B82245C}"/>
    <cellStyle name="Įprastas 5 4 3 3 3 2 3_8 priedas" xfId="9930" xr:uid="{175B8B71-A1A4-411D-9E63-D465BD490ACB}"/>
    <cellStyle name="Įprastas 5 4 3 3 3 2 4" xfId="7297" xr:uid="{2F4D43E9-DD45-4375-9420-01BFF8C63FF9}"/>
    <cellStyle name="Įprastas 5 4 3 3 3 2 5" xfId="3841" xr:uid="{D9A84DCF-941F-4837-A830-33C6B2D11EAA}"/>
    <cellStyle name="Įprastas 5 4 3 3 3 2_8 priedas" xfId="9928" xr:uid="{96E2C8E8-0492-4A39-A5EE-6B7E7A04A0C8}"/>
    <cellStyle name="Įprastas 5 4 3 3 3 3" xfId="2003" xr:uid="{4CB4B3B3-B143-4954-AB90-9D61C6238141}"/>
    <cellStyle name="Įprastas 5 4 3 3 3 3 2" xfId="5989" xr:uid="{1CFC0EA0-1B7B-4697-86F3-47844DFD5F0D}"/>
    <cellStyle name="Įprastas 5 4 3 3 3 3 3" xfId="7717" xr:uid="{020048A1-3767-4FB9-A1EF-6B93343F0EB7}"/>
    <cellStyle name="Įprastas 5 4 3 3 3 3 4" xfId="4261" xr:uid="{CB8F8D79-0B84-4EDD-874C-F468091EF122}"/>
    <cellStyle name="Įprastas 5 4 3 3 3 3_8 priedas" xfId="9931" xr:uid="{D172F527-96F3-40CB-A3A1-4C58E13E546F}"/>
    <cellStyle name="Įprastas 5 4 3 3 3 4" xfId="2532" xr:uid="{432201C1-8931-4DA1-A8A0-1E0A28CE8254}"/>
    <cellStyle name="Įprastas 5 4 3 3 3 4 2" xfId="5125" xr:uid="{734AB4FD-52D2-49C2-8A73-50A8FA515512}"/>
    <cellStyle name="Įprastas 5 4 3 3 3 4_8 priedas" xfId="9932" xr:uid="{1013623D-E61B-47EB-90BF-39149FEE23FB}"/>
    <cellStyle name="Įprastas 5 4 3 3 3 5" xfId="6853" xr:uid="{79A2E19E-038D-4F24-AC36-9A86DB4F88A7}"/>
    <cellStyle name="Įprastas 5 4 3 3 3 6" xfId="3397" xr:uid="{C3136E57-F138-4F6D-BE1E-E4C1D70E3AF8}"/>
    <cellStyle name="Įprastas 5 4 3 3 3_8 priedas" xfId="1066" xr:uid="{00000000-0005-0000-0000-000002040000}"/>
    <cellStyle name="Įprastas 5 4 3 3 4" xfId="540" xr:uid="{00000000-0005-0000-0000-000003040000}"/>
    <cellStyle name="Įprastas 5 4 3 3 4 2" xfId="2004" xr:uid="{7E7D7099-F748-4B07-954A-2AE3BDDDA029}"/>
    <cellStyle name="Įprastas 5 4 3 3 4 2 2" xfId="6145" xr:uid="{AB025F11-51F5-4A83-8227-2B47B57E4F86}"/>
    <cellStyle name="Įprastas 5 4 3 3 4 2 3" xfId="7873" xr:uid="{8D61AB6A-B8CD-494D-88E2-B30730C77361}"/>
    <cellStyle name="Įprastas 5 4 3 3 4 2 4" xfId="4417" xr:uid="{AF838D37-BA77-4B73-811E-7E215AFAA94C}"/>
    <cellStyle name="Įprastas 5 4 3 3 4 2_8 priedas" xfId="9934" xr:uid="{F14D9836-4370-40E4-BBDB-70CE76157184}"/>
    <cellStyle name="Įprastas 5 4 3 3 4 3" xfId="2688" xr:uid="{4A84F3DF-1399-4F5F-801D-503EEB486C23}"/>
    <cellStyle name="Įprastas 5 4 3 3 4 3 2" xfId="5281" xr:uid="{0053DDE8-F71B-4C23-8F8E-91250885B86C}"/>
    <cellStyle name="Įprastas 5 4 3 3 4 3_8 priedas" xfId="9935" xr:uid="{800A8F4A-1E61-4841-A84D-E6B8A5A95CB9}"/>
    <cellStyle name="Įprastas 5 4 3 3 4 4" xfId="7009" xr:uid="{9F59DDCC-AD72-4FA6-897D-32568EEEF2EB}"/>
    <cellStyle name="Įprastas 5 4 3 3 4 5" xfId="3553" xr:uid="{43F17BDD-AFC9-47EE-B03A-84200FEFF29E}"/>
    <cellStyle name="Įprastas 5 4 3 3 4_8 priedas" xfId="9933" xr:uid="{801B98D9-920D-46E2-8A71-383243618FEA}"/>
    <cellStyle name="Įprastas 5 4 3 3 5" xfId="2005" xr:uid="{348BE12E-17BC-47AC-B3C6-F8D11EBB0304}"/>
    <cellStyle name="Įprastas 5 4 3 3 5 2" xfId="5987" xr:uid="{FFEB2C2E-ECEE-491F-960F-E7E2318FBB4C}"/>
    <cellStyle name="Įprastas 5 4 3 3 5 3" xfId="7715" xr:uid="{EB209E99-8ED3-47FD-BFC6-71693B59C760}"/>
    <cellStyle name="Įprastas 5 4 3 3 5 4" xfId="4259" xr:uid="{9A6EC121-6BDB-418E-9F89-BF2573C87A36}"/>
    <cellStyle name="Įprastas 5 4 3 3 5_8 priedas" xfId="9936" xr:uid="{BA8FCF2A-7572-4C0B-9B8F-7615CF8A0266}"/>
    <cellStyle name="Įprastas 5 4 3 3 6" xfId="2530" xr:uid="{5F91003E-7AF7-4303-83A3-E1DF719FC61E}"/>
    <cellStyle name="Įprastas 5 4 3 3 6 2" xfId="5123" xr:uid="{C727DBD4-A735-48E9-9B45-789982682252}"/>
    <cellStyle name="Įprastas 5 4 3 3 6_8 priedas" xfId="9937" xr:uid="{D680AC4D-7FD3-4F86-A9D8-78353263878C}"/>
    <cellStyle name="Įprastas 5 4 3 3 7" xfId="6851" xr:uid="{49970E6F-0FB4-4131-87A1-5BA6E3DA0190}"/>
    <cellStyle name="Įprastas 5 4 3 3 8" xfId="3395" xr:uid="{7A3349BB-E9C9-49AE-BD94-52EE6CF114EC}"/>
    <cellStyle name="Įprastas 5 4 3 3_8 priedas" xfId="937" xr:uid="{00000000-0005-0000-0000-000004040000}"/>
    <cellStyle name="Įprastas 5 4 3 4" xfId="369" xr:uid="{00000000-0005-0000-0000-000005040000}"/>
    <cellStyle name="Įprastas 5 4 3 4 2" xfId="370" xr:uid="{00000000-0005-0000-0000-000006040000}"/>
    <cellStyle name="Įprastas 5 4 3 4 2 2" xfId="732" xr:uid="{00000000-0005-0000-0000-000007040000}"/>
    <cellStyle name="Įprastas 5 4 3 4 2 2 2" xfId="2006" xr:uid="{322449A4-BF8D-4E11-B3B3-8C8055FD940E}"/>
    <cellStyle name="Įprastas 5 4 3 4 2 2 2 2" xfId="6337" xr:uid="{08CC66ED-217D-48A0-AA89-9CCB683D2737}"/>
    <cellStyle name="Įprastas 5 4 3 4 2 2 2 3" xfId="8065" xr:uid="{EC124A3D-03C8-4528-8A70-8CDF1589E564}"/>
    <cellStyle name="Įprastas 5 4 3 4 2 2 2 4" xfId="4609" xr:uid="{0F94C1CB-312D-4A0B-AF49-1A1B535C15C1}"/>
    <cellStyle name="Įprastas 5 4 3 4 2 2 2_8 priedas" xfId="9939" xr:uid="{88FCE781-A565-46C6-9F25-E1B528A42D06}"/>
    <cellStyle name="Įprastas 5 4 3 4 2 2 3" xfId="2880" xr:uid="{F6C0821C-7333-4402-9E29-D816BC37B88C}"/>
    <cellStyle name="Įprastas 5 4 3 4 2 2 3 2" xfId="5473" xr:uid="{66115625-D525-4F03-B7C7-6C46A9B77419}"/>
    <cellStyle name="Įprastas 5 4 3 4 2 2 3_8 priedas" xfId="9940" xr:uid="{50566DFB-7108-42D3-853C-3022CAB91444}"/>
    <cellStyle name="Įprastas 5 4 3 4 2 2 4" xfId="7201" xr:uid="{CBDB56D1-63C8-465E-866F-7D06ADDEDE4F}"/>
    <cellStyle name="Įprastas 5 4 3 4 2 2 5" xfId="3745" xr:uid="{3F5A86C5-7832-4CA5-85AA-B097F3B95BBF}"/>
    <cellStyle name="Įprastas 5 4 3 4 2 2_8 priedas" xfId="9938" xr:uid="{4580A394-0888-4C1D-BEA7-BAF5A4F44506}"/>
    <cellStyle name="Įprastas 5 4 3 4 2 3" xfId="2007" xr:uid="{D92B2174-D9EA-4667-8711-26CB9C91A0D7}"/>
    <cellStyle name="Įprastas 5 4 3 4 2 3 2" xfId="5991" xr:uid="{986729CB-3330-4BAA-8251-C76740302CBC}"/>
    <cellStyle name="Įprastas 5 4 3 4 2 3 3" xfId="7719" xr:uid="{44D44C7E-88FF-4760-80C0-DC966C9EE4A5}"/>
    <cellStyle name="Įprastas 5 4 3 4 2 3 4" xfId="4263" xr:uid="{C06E6EF1-F5CD-49FE-B4DB-28953DD67255}"/>
    <cellStyle name="Įprastas 5 4 3 4 2 3_8 priedas" xfId="9941" xr:uid="{254BF87B-D955-4B75-A687-FA95E1E01790}"/>
    <cellStyle name="Įprastas 5 4 3 4 2 4" xfId="2534" xr:uid="{E62AC2FF-8F7F-443A-A45F-181D5C018C36}"/>
    <cellStyle name="Įprastas 5 4 3 4 2 4 2" xfId="5127" xr:uid="{715728C4-F0F7-4809-9B86-2500A9A5C2C3}"/>
    <cellStyle name="Įprastas 5 4 3 4 2 4_8 priedas" xfId="9942" xr:uid="{F8BF9D65-623B-4996-93EE-9DD7C91CCDE4}"/>
    <cellStyle name="Įprastas 5 4 3 4 2 5" xfId="6855" xr:uid="{1A0BA210-9313-4968-A961-E842AB2D2FBF}"/>
    <cellStyle name="Įprastas 5 4 3 4 2 6" xfId="3399" xr:uid="{9EE6984F-2F13-4D5D-83D6-35244D2E23FA}"/>
    <cellStyle name="Įprastas 5 4 3 4 2_8 priedas" xfId="1154" xr:uid="{00000000-0005-0000-0000-000008040000}"/>
    <cellStyle name="Įprastas 5 4 3 4 3" xfId="371" xr:uid="{00000000-0005-0000-0000-000009040000}"/>
    <cellStyle name="Įprastas 5 4 3 4 3 2" xfId="876" xr:uid="{00000000-0005-0000-0000-00000A040000}"/>
    <cellStyle name="Įprastas 5 4 3 4 3 2 2" xfId="2008" xr:uid="{01440EFC-4E9D-4E06-8730-C172ECD660AF}"/>
    <cellStyle name="Įprastas 5 4 3 4 3 2 2 2" xfId="6481" xr:uid="{B5E849C0-2859-49FB-8B24-0FA156F81779}"/>
    <cellStyle name="Įprastas 5 4 3 4 3 2 2 3" xfId="8209" xr:uid="{265BEDD0-AFC1-4165-85C1-CFA0E8AF7A35}"/>
    <cellStyle name="Įprastas 5 4 3 4 3 2 2 4" xfId="4753" xr:uid="{0DC78DAA-A1C4-449D-9920-DB8C66517C6F}"/>
    <cellStyle name="Įprastas 5 4 3 4 3 2 2_8 priedas" xfId="9944" xr:uid="{F0E5A14A-BE63-48FF-8438-72781540D078}"/>
    <cellStyle name="Įprastas 5 4 3 4 3 2 3" xfId="3024" xr:uid="{500841D2-22D8-4008-96D3-7A4D6DC8454A}"/>
    <cellStyle name="Įprastas 5 4 3 4 3 2 3 2" xfId="5617" xr:uid="{DDD2FA0D-5585-4593-A982-22E8F60D8787}"/>
    <cellStyle name="Įprastas 5 4 3 4 3 2 3_8 priedas" xfId="9945" xr:uid="{AC40DC5F-9703-4E26-8A25-233FB4700332}"/>
    <cellStyle name="Įprastas 5 4 3 4 3 2 4" xfId="7345" xr:uid="{A7C6C29E-EBA2-4A93-A646-B023771A1D92}"/>
    <cellStyle name="Įprastas 5 4 3 4 3 2 5" xfId="3889" xr:uid="{00DB1DCA-E4D5-4BDC-8282-E94EECB83E03}"/>
    <cellStyle name="Įprastas 5 4 3 4 3 2_8 priedas" xfId="9943" xr:uid="{A9329DAB-7854-4C04-945A-82228A983272}"/>
    <cellStyle name="Įprastas 5 4 3 4 3 3" xfId="2009" xr:uid="{9B375BDA-805D-4CD3-AA03-4305AAB5BF35}"/>
    <cellStyle name="Įprastas 5 4 3 4 3 3 2" xfId="5992" xr:uid="{28C83C06-B8A3-4743-B3BA-FCA027999D3E}"/>
    <cellStyle name="Įprastas 5 4 3 4 3 3 3" xfId="7720" xr:uid="{D1ED4A67-DEA8-4AD3-B410-11D36BEA0448}"/>
    <cellStyle name="Įprastas 5 4 3 4 3 3 4" xfId="4264" xr:uid="{ACC14CBB-C769-45E7-B19B-C617D5AB8EAD}"/>
    <cellStyle name="Įprastas 5 4 3 4 3 3_8 priedas" xfId="9946" xr:uid="{0AA9DB1E-38E1-4786-B4C6-95E58AF8D373}"/>
    <cellStyle name="Įprastas 5 4 3 4 3 4" xfId="2535" xr:uid="{8EEF34CD-D453-4EA6-9504-29C0A925D294}"/>
    <cellStyle name="Įprastas 5 4 3 4 3 4 2" xfId="5128" xr:uid="{FE1C03DE-9D61-451C-996E-196682B55458}"/>
    <cellStyle name="Įprastas 5 4 3 4 3 4_8 priedas" xfId="9947" xr:uid="{2768696D-F8BF-48F8-AC02-F47374B202C8}"/>
    <cellStyle name="Įprastas 5 4 3 4 3 5" xfId="6856" xr:uid="{EBE3DA57-611D-4AC8-8103-D7CAFF58AFB3}"/>
    <cellStyle name="Įprastas 5 4 3 4 3 6" xfId="3400" xr:uid="{795126EE-FBB9-45E6-9CA5-94BAF45BBF7A}"/>
    <cellStyle name="Įprastas 5 4 3 4 3_8 priedas" xfId="1019" xr:uid="{00000000-0005-0000-0000-00000B040000}"/>
    <cellStyle name="Įprastas 5 4 3 4 4" xfId="588" xr:uid="{00000000-0005-0000-0000-00000C040000}"/>
    <cellStyle name="Įprastas 5 4 3 4 4 2" xfId="2010" xr:uid="{1E1133A9-0DF4-4F8F-823F-065F4C32E90A}"/>
    <cellStyle name="Įprastas 5 4 3 4 4 2 2" xfId="6193" xr:uid="{0199D497-A6CB-472F-916A-FE69BDEB06F6}"/>
    <cellStyle name="Įprastas 5 4 3 4 4 2 3" xfId="7921" xr:uid="{D97963C3-8FAC-4C60-8C89-2FA487B1D7B4}"/>
    <cellStyle name="Įprastas 5 4 3 4 4 2 4" xfId="4465" xr:uid="{1860A1BA-55B9-4221-8E48-351DF99F4499}"/>
    <cellStyle name="Įprastas 5 4 3 4 4 2_8 priedas" xfId="9949" xr:uid="{3A43C319-50A6-4E98-8535-932DB357FDB9}"/>
    <cellStyle name="Įprastas 5 4 3 4 4 3" xfId="2736" xr:uid="{2BAE0A15-E8FE-4905-9ACB-EA846C1E4BBC}"/>
    <cellStyle name="Įprastas 5 4 3 4 4 3 2" xfId="5329" xr:uid="{D94B124D-F4B6-47FA-9DD8-3EE27D9C000D}"/>
    <cellStyle name="Įprastas 5 4 3 4 4 3_8 priedas" xfId="9950" xr:uid="{E3ED6171-9DBB-40D3-8417-60DD01628216}"/>
    <cellStyle name="Įprastas 5 4 3 4 4 4" xfId="7057" xr:uid="{55BB2404-DA91-4B65-84A5-A51503828463}"/>
    <cellStyle name="Įprastas 5 4 3 4 4 5" xfId="3601" xr:uid="{C80D7B1D-E0F9-40AC-ACA1-7CE110C903DF}"/>
    <cellStyle name="Įprastas 5 4 3 4 4_8 priedas" xfId="9948" xr:uid="{4DDF6EF8-D214-4378-B19B-7CB317396FE4}"/>
    <cellStyle name="Įprastas 5 4 3 4 5" xfId="2011" xr:uid="{5BD653F2-2E81-4BC8-8A98-73CA9F83D984}"/>
    <cellStyle name="Įprastas 5 4 3 4 5 2" xfId="5990" xr:uid="{9392409D-2618-40CF-B6EC-7A8927858262}"/>
    <cellStyle name="Įprastas 5 4 3 4 5 3" xfId="7718" xr:uid="{55871BD3-47BE-45C5-B791-D2FF5F81E416}"/>
    <cellStyle name="Įprastas 5 4 3 4 5 4" xfId="4262" xr:uid="{55DDE7DD-35FD-41D9-82DD-D48F88903C07}"/>
    <cellStyle name="Įprastas 5 4 3 4 5_8 priedas" xfId="9951" xr:uid="{6006AAF0-B288-4BB6-88BA-32E242A7869F}"/>
    <cellStyle name="Įprastas 5 4 3 4 6" xfId="2533" xr:uid="{A49C5D58-8774-412B-A78B-D393E326089C}"/>
    <cellStyle name="Įprastas 5 4 3 4 6 2" xfId="5126" xr:uid="{5C273D95-B310-4E3D-9F31-11881F94D7C1}"/>
    <cellStyle name="Įprastas 5 4 3 4 6_8 priedas" xfId="9952" xr:uid="{06352FB6-6233-4EAB-A402-DF72BBD62D4E}"/>
    <cellStyle name="Įprastas 5 4 3 4 7" xfId="6854" xr:uid="{9F5FA2F0-A434-464B-BCD7-4DF4A5C32C67}"/>
    <cellStyle name="Įprastas 5 4 3 4 8" xfId="3398" xr:uid="{E81A00FA-D692-477A-BA03-B55B8A06BA03}"/>
    <cellStyle name="Įprastas 5 4 3 4_8 priedas" xfId="1291" xr:uid="{00000000-0005-0000-0000-00000D040000}"/>
    <cellStyle name="Įprastas 5 4 3 5" xfId="372" xr:uid="{00000000-0005-0000-0000-00000E040000}"/>
    <cellStyle name="Įprastas 5 4 3 5 2" xfId="636" xr:uid="{00000000-0005-0000-0000-00000F040000}"/>
    <cellStyle name="Įprastas 5 4 3 5 2 2" xfId="2012" xr:uid="{7438FF45-587C-49EE-9CF2-DC1626338751}"/>
    <cellStyle name="Įprastas 5 4 3 5 2 2 2" xfId="6241" xr:uid="{4BA3CB7E-2892-48CB-9862-57F9A71B09AA}"/>
    <cellStyle name="Įprastas 5 4 3 5 2 2 3" xfId="7969" xr:uid="{F3751F8C-3606-48DE-9A75-A64DCFD4A232}"/>
    <cellStyle name="Įprastas 5 4 3 5 2 2 4" xfId="4513" xr:uid="{1C82762E-DAB3-49D0-A7F2-4F550A3E37B2}"/>
    <cellStyle name="Įprastas 5 4 3 5 2 2_8 priedas" xfId="9954" xr:uid="{393BA9FF-862C-4E41-89FA-44AD9976905B}"/>
    <cellStyle name="Įprastas 5 4 3 5 2 3" xfId="2784" xr:uid="{4BE6A131-636F-4BAA-A38C-E26E14AC3AB9}"/>
    <cellStyle name="Įprastas 5 4 3 5 2 3 2" xfId="5377" xr:uid="{2A85704F-AF6E-428F-BC36-1C237EC14033}"/>
    <cellStyle name="Įprastas 5 4 3 5 2 3_8 priedas" xfId="9955" xr:uid="{DF748F56-1227-4DDC-8E8D-685B2E4D520D}"/>
    <cellStyle name="Įprastas 5 4 3 5 2 4" xfId="7105" xr:uid="{84024EA9-F2DA-4B17-A19A-05429A442681}"/>
    <cellStyle name="Įprastas 5 4 3 5 2 5" xfId="3649" xr:uid="{9B1770AB-F85E-429E-B305-E813E798B31E}"/>
    <cellStyle name="Įprastas 5 4 3 5 2_8 priedas" xfId="9953" xr:uid="{3457012E-353E-4B5A-90DC-5786DD3BCE8D}"/>
    <cellStyle name="Įprastas 5 4 3 5 3" xfId="2013" xr:uid="{42035229-0389-4A9F-8471-AAAC6E490198}"/>
    <cellStyle name="Įprastas 5 4 3 5 3 2" xfId="5993" xr:uid="{9CC65342-2D95-4AAA-9C88-31242A09CF21}"/>
    <cellStyle name="Įprastas 5 4 3 5 3 3" xfId="7721" xr:uid="{4FC0F9DF-0CF5-4F4D-AC56-0A0E4B500D56}"/>
    <cellStyle name="Įprastas 5 4 3 5 3 4" xfId="4265" xr:uid="{0EF9A525-4AA6-4C64-AFDD-6C358D0AC16E}"/>
    <cellStyle name="Įprastas 5 4 3 5 3_8 priedas" xfId="9956" xr:uid="{22D7C796-2797-4685-83A6-F3FA2E7B4C53}"/>
    <cellStyle name="Įprastas 5 4 3 5 4" xfId="2536" xr:uid="{0E58B342-8555-4C9E-BE40-6F09E58C586A}"/>
    <cellStyle name="Įprastas 5 4 3 5 4 2" xfId="5129" xr:uid="{F67B63AB-BAF5-46F8-9954-BFF711207A4F}"/>
    <cellStyle name="Įprastas 5 4 3 5 4_8 priedas" xfId="9957" xr:uid="{C7D7AA1F-05A3-4060-8C5D-41A7ADB61F7C}"/>
    <cellStyle name="Įprastas 5 4 3 5 5" xfId="6857" xr:uid="{AED79366-340B-4ACD-AAB1-7E1FB68FAB55}"/>
    <cellStyle name="Įprastas 5 4 3 5 6" xfId="3401" xr:uid="{6387963A-7C7D-4D0D-8B51-9DA388F42DFD}"/>
    <cellStyle name="Įprastas 5 4 3 5_8 priedas" xfId="1244" xr:uid="{00000000-0005-0000-0000-000010040000}"/>
    <cellStyle name="Įprastas 5 4 3 6" xfId="373" xr:uid="{00000000-0005-0000-0000-000011040000}"/>
    <cellStyle name="Įprastas 5 4 3 6 2" xfId="780" xr:uid="{00000000-0005-0000-0000-000012040000}"/>
    <cellStyle name="Įprastas 5 4 3 6 2 2" xfId="2014" xr:uid="{EDA12381-BAE8-4F2B-8FBF-5DBC603F6A9E}"/>
    <cellStyle name="Įprastas 5 4 3 6 2 2 2" xfId="6385" xr:uid="{9E47F3E3-88A9-4A47-98CF-A8C4A3C2BF76}"/>
    <cellStyle name="Įprastas 5 4 3 6 2 2 3" xfId="8113" xr:uid="{39A43B06-FCA7-4A8C-A704-7B83B3ADFDCF}"/>
    <cellStyle name="Įprastas 5 4 3 6 2 2 4" xfId="4657" xr:uid="{E5CC1F53-8637-4290-B71C-233639BA7E1C}"/>
    <cellStyle name="Įprastas 5 4 3 6 2 2_8 priedas" xfId="9959" xr:uid="{4C3326E8-779C-46E1-B203-654A05722707}"/>
    <cellStyle name="Įprastas 5 4 3 6 2 3" xfId="2928" xr:uid="{9DB271C5-ADA4-4566-895A-1DF2ECF12EC0}"/>
    <cellStyle name="Įprastas 5 4 3 6 2 3 2" xfId="5521" xr:uid="{85087D2B-19D0-440F-A15E-853FA4AA3E44}"/>
    <cellStyle name="Įprastas 5 4 3 6 2 3_8 priedas" xfId="9960" xr:uid="{748F07A8-CBC0-4128-88C7-13215457B516}"/>
    <cellStyle name="Įprastas 5 4 3 6 2 4" xfId="7249" xr:uid="{43E4EB5F-C248-418A-A45D-41EB316F63EC}"/>
    <cellStyle name="Įprastas 5 4 3 6 2 5" xfId="3793" xr:uid="{8CBBBB53-E243-43DE-9786-707431F32DE8}"/>
    <cellStyle name="Įprastas 5 4 3 6 2_8 priedas" xfId="9958" xr:uid="{09AFFCFA-6F5A-4EC9-B06A-6DCC98C9B445}"/>
    <cellStyle name="Įprastas 5 4 3 6 3" xfId="2015" xr:uid="{15420977-70C2-4AE0-8E87-7D082649DFA3}"/>
    <cellStyle name="Įprastas 5 4 3 6 3 2" xfId="5994" xr:uid="{793A22A5-3FFF-43F2-9445-E641E06BAD21}"/>
    <cellStyle name="Įprastas 5 4 3 6 3 3" xfId="7722" xr:uid="{0450E2B5-0627-4C8D-888F-87F4A4C7CCD9}"/>
    <cellStyle name="Įprastas 5 4 3 6 3 4" xfId="4266" xr:uid="{77B9CA70-C25E-433D-BFBA-05C0D49A913D}"/>
    <cellStyle name="Įprastas 5 4 3 6 3_8 priedas" xfId="9961" xr:uid="{B0B2F85E-4FC2-4AFE-BD08-F3897C21D82B}"/>
    <cellStyle name="Įprastas 5 4 3 6 4" xfId="2537" xr:uid="{77FFC832-1681-42E6-85B2-652A6521A0CB}"/>
    <cellStyle name="Įprastas 5 4 3 6 4 2" xfId="5130" xr:uid="{1F610F71-0488-4BA8-8FCC-DEF5305D9E4B}"/>
    <cellStyle name="Įprastas 5 4 3 6 4_8 priedas" xfId="9962" xr:uid="{1E1FD1EC-272B-4324-B1AC-04D405E72AF2}"/>
    <cellStyle name="Įprastas 5 4 3 6 5" xfId="6858" xr:uid="{173D71EB-8C61-4DE3-980A-8C1557B2F5CC}"/>
    <cellStyle name="Įprastas 5 4 3 6 6" xfId="3402" xr:uid="{BD660952-1323-41CD-9A69-CE60B47C3DB2}"/>
    <cellStyle name="Įprastas 5 4 3 6_8 priedas" xfId="1114" xr:uid="{00000000-0005-0000-0000-000013040000}"/>
    <cellStyle name="Įprastas 5 4 3 7" xfId="492" xr:uid="{00000000-0005-0000-0000-000014040000}"/>
    <cellStyle name="Įprastas 5 4 3 7 2" xfId="2016" xr:uid="{EDA0377B-441E-4752-BAF1-1BF0CB7ADC66}"/>
    <cellStyle name="Įprastas 5 4 3 7 2 2" xfId="6097" xr:uid="{8F6DE308-CA49-4E32-8EB8-F2C60EAE34AE}"/>
    <cellStyle name="Įprastas 5 4 3 7 2 3" xfId="7825" xr:uid="{D1B61BE0-A255-48D7-BC39-CD4ABFD29333}"/>
    <cellStyle name="Įprastas 5 4 3 7 2 4" xfId="4369" xr:uid="{11B98DA1-1FA8-46FD-A0D4-2BD1541CD110}"/>
    <cellStyle name="Įprastas 5 4 3 7 2_8 priedas" xfId="9964" xr:uid="{C5C4AA74-ABD8-49BD-BCEE-4272AF67D71A}"/>
    <cellStyle name="Įprastas 5 4 3 7 3" xfId="2640" xr:uid="{FD4D1406-89A4-4726-8B4C-D0E1F07E6D19}"/>
    <cellStyle name="Įprastas 5 4 3 7 3 2" xfId="5233" xr:uid="{2DAF726A-243B-4067-B496-E786E2CD9B21}"/>
    <cellStyle name="Įprastas 5 4 3 7 3_8 priedas" xfId="9965" xr:uid="{7AC313A1-7264-488C-8D66-EBDD4E02AA8A}"/>
    <cellStyle name="Įprastas 5 4 3 7 4" xfId="6961" xr:uid="{30BA4062-0049-4C54-A674-F622A706C2BC}"/>
    <cellStyle name="Įprastas 5 4 3 7 5" xfId="3505" xr:uid="{77E15604-EC85-46BF-8CFD-41F2044D7BF1}"/>
    <cellStyle name="Įprastas 5 4 3 7_8 priedas" xfId="9963" xr:uid="{C6C8AC8F-76EC-4591-A158-229C448FD723}"/>
    <cellStyle name="Įprastas 5 4 3 8" xfId="2017" xr:uid="{9C2D5B3F-F042-4819-A905-62AE20E1FB90}"/>
    <cellStyle name="Įprastas 5 4 3 8 2" xfId="5977" xr:uid="{1AD4F4A7-D6F4-4044-AD3E-386BD6B96C55}"/>
    <cellStyle name="Įprastas 5 4 3 8 3" xfId="7705" xr:uid="{0B7AEA80-CC51-4625-8D41-3D03E5A0CA9D}"/>
    <cellStyle name="Įprastas 5 4 3 8 4" xfId="4249" xr:uid="{FA080114-9B74-4706-A64C-BF0DC5C1F527}"/>
    <cellStyle name="Įprastas 5 4 3 8_8 priedas" xfId="9966" xr:uid="{0BBF0213-015A-4F2A-AC6F-3AE844FBC216}"/>
    <cellStyle name="Įprastas 5 4 3 9" xfId="2520" xr:uid="{3F901820-F4B7-46E8-943D-2F1619D189CC}"/>
    <cellStyle name="Įprastas 5 4 3 9 2" xfId="5113" xr:uid="{DFF61CB1-8187-4A6C-9CAF-EFBC297A6784}"/>
    <cellStyle name="Įprastas 5 4 3 9_8 priedas" xfId="9967" xr:uid="{4663E676-C664-4F31-950D-D47ECEE3100A}"/>
    <cellStyle name="Įprastas 5 4 3_8 priedas" xfId="1228" xr:uid="{00000000-0005-0000-0000-000015040000}"/>
    <cellStyle name="Įprastas 5 4 4" xfId="374" xr:uid="{00000000-0005-0000-0000-000016040000}"/>
    <cellStyle name="Įprastas 5 4 4 10" xfId="3403" xr:uid="{A8B53309-4546-4EB9-9550-44DE642DF52F}"/>
    <cellStyle name="Įprastas 5 4 4 2" xfId="375" xr:uid="{00000000-0005-0000-0000-000017040000}"/>
    <cellStyle name="Įprastas 5 4 4 2 2" xfId="376" xr:uid="{00000000-0005-0000-0000-000018040000}"/>
    <cellStyle name="Įprastas 5 4 4 2 2 2" xfId="696" xr:uid="{00000000-0005-0000-0000-000019040000}"/>
    <cellStyle name="Įprastas 5 4 4 2 2 2 2" xfId="2018" xr:uid="{C199E00F-2E1B-4F74-A58A-3B018B6EBC28}"/>
    <cellStyle name="Įprastas 5 4 4 2 2 2 2 2" xfId="6301" xr:uid="{6D9CAE4E-15E0-4937-BE7C-B8EB97BAC5E5}"/>
    <cellStyle name="Įprastas 5 4 4 2 2 2 2 3" xfId="8029" xr:uid="{280A7924-C913-48B0-995B-A2970C2551AE}"/>
    <cellStyle name="Įprastas 5 4 4 2 2 2 2 4" xfId="4573" xr:uid="{16A57A77-5CEC-4AD9-A59D-74A512C47123}"/>
    <cellStyle name="Įprastas 5 4 4 2 2 2 2_8 priedas" xfId="9969" xr:uid="{287335D2-C2E3-49FB-897A-B02974FBE711}"/>
    <cellStyle name="Įprastas 5 4 4 2 2 2 3" xfId="2844" xr:uid="{3B5E3B40-EC16-44B1-9DB1-71C56E7AF297}"/>
    <cellStyle name="Įprastas 5 4 4 2 2 2 3 2" xfId="5437" xr:uid="{0C8871B7-D8DE-44F5-97B3-B5CA44A34211}"/>
    <cellStyle name="Įprastas 5 4 4 2 2 2 3_8 priedas" xfId="9970" xr:uid="{E540D8BE-2215-477C-AC58-975F5BCED074}"/>
    <cellStyle name="Įprastas 5 4 4 2 2 2 4" xfId="7165" xr:uid="{6A7EE78D-C398-4767-886D-3A31D4F8B454}"/>
    <cellStyle name="Įprastas 5 4 4 2 2 2 5" xfId="3709" xr:uid="{870E33CD-EFE9-4F68-9C02-547DDCDBAB15}"/>
    <cellStyle name="Įprastas 5 4 4 2 2 2_8 priedas" xfId="9968" xr:uid="{6B29B429-C355-4608-AE34-5E8E9AEDB99D}"/>
    <cellStyle name="Įprastas 5 4 4 2 2 3" xfId="2019" xr:uid="{3B0CCB5D-CD5B-4F40-B9B5-BE070C5B5599}"/>
    <cellStyle name="Įprastas 5 4 4 2 2 3 2" xfId="5997" xr:uid="{5461903A-4A30-4B32-9A2A-C941AC21B9F7}"/>
    <cellStyle name="Įprastas 5 4 4 2 2 3 3" xfId="7725" xr:uid="{5598C358-463E-4642-9866-F28FB9A3BA02}"/>
    <cellStyle name="Įprastas 5 4 4 2 2 3 4" xfId="4269" xr:uid="{9C487172-08AB-497B-877C-9590AFF83426}"/>
    <cellStyle name="Įprastas 5 4 4 2 2 3_8 priedas" xfId="9971" xr:uid="{70B1DEDC-9016-408F-BF41-49AFAB50DFEC}"/>
    <cellStyle name="Įprastas 5 4 4 2 2 4" xfId="2540" xr:uid="{03E91744-0138-4943-9F31-A956900444A3}"/>
    <cellStyle name="Įprastas 5 4 4 2 2 4 2" xfId="5133" xr:uid="{21816834-62C7-4CD5-9554-CB4FF4B39470}"/>
    <cellStyle name="Įprastas 5 4 4 2 2 4_8 priedas" xfId="9972" xr:uid="{577AB594-5630-43E1-82F5-F50B620A494F}"/>
    <cellStyle name="Įprastas 5 4 4 2 2 5" xfId="6861" xr:uid="{D4B14226-7B62-4272-9D73-D2280228D14C}"/>
    <cellStyle name="Įprastas 5 4 4 2 2 6" xfId="3405" xr:uid="{1877C36C-106F-477A-BD13-0167F181E038}"/>
    <cellStyle name="Įprastas 5 4 4 2 2_8 priedas" xfId="1090" xr:uid="{00000000-0005-0000-0000-00001A040000}"/>
    <cellStyle name="Įprastas 5 4 4 2 3" xfId="377" xr:uid="{00000000-0005-0000-0000-00001B040000}"/>
    <cellStyle name="Įprastas 5 4 4 2 3 2" xfId="840" xr:uid="{00000000-0005-0000-0000-00001C040000}"/>
    <cellStyle name="Įprastas 5 4 4 2 3 2 2" xfId="2020" xr:uid="{17D848DA-578C-4E4C-BE33-742D6384B755}"/>
    <cellStyle name="Įprastas 5 4 4 2 3 2 2 2" xfId="6445" xr:uid="{73363561-9685-465A-85AE-6E1BA35FEF15}"/>
    <cellStyle name="Įprastas 5 4 4 2 3 2 2 3" xfId="8173" xr:uid="{FE49A934-7208-41FD-908F-09F25D6263D4}"/>
    <cellStyle name="Įprastas 5 4 4 2 3 2 2 4" xfId="4717" xr:uid="{91DDA570-DE09-4652-985A-E21A75D7169E}"/>
    <cellStyle name="Įprastas 5 4 4 2 3 2 2_8 priedas" xfId="9974" xr:uid="{ABD9BC9A-DD0A-4CA0-85DE-2728E29571B1}"/>
    <cellStyle name="Įprastas 5 4 4 2 3 2 3" xfId="2988" xr:uid="{EDF319D2-C8DB-46BB-BE32-801C12F64352}"/>
    <cellStyle name="Įprastas 5 4 4 2 3 2 3 2" xfId="5581" xr:uid="{6F99D07E-F14C-41E6-92EB-7125C46B241C}"/>
    <cellStyle name="Įprastas 5 4 4 2 3 2 3_8 priedas" xfId="9975" xr:uid="{2CD78362-1529-4CD0-BBDE-FA3047A058C9}"/>
    <cellStyle name="Įprastas 5 4 4 2 3 2 4" xfId="7309" xr:uid="{58C5B1E1-E9A4-4B3D-9F43-E61E312A1D2F}"/>
    <cellStyle name="Įprastas 5 4 4 2 3 2 5" xfId="3853" xr:uid="{1EFF78BD-8DB6-484C-B637-5A45D9287225}"/>
    <cellStyle name="Įprastas 5 4 4 2 3 2_8 priedas" xfId="9973" xr:uid="{AB461D51-B55B-4524-A008-982F7E419998}"/>
    <cellStyle name="Įprastas 5 4 4 2 3 3" xfId="2021" xr:uid="{ED6AC226-7AB7-4DD5-9330-94E55B416F11}"/>
    <cellStyle name="Įprastas 5 4 4 2 3 3 2" xfId="5998" xr:uid="{081D8DF1-E1F9-4290-8E4F-8E6AC4AA6BFB}"/>
    <cellStyle name="Įprastas 5 4 4 2 3 3 3" xfId="7726" xr:uid="{D1010A1B-79C4-43D5-AE6E-7D67CC184A5C}"/>
    <cellStyle name="Įprastas 5 4 4 2 3 3 4" xfId="4270" xr:uid="{9C9878CA-6314-4E51-A2C5-9065AEF7E4F9}"/>
    <cellStyle name="Įprastas 5 4 4 2 3 3_8 priedas" xfId="9976" xr:uid="{96D925A6-0EDD-4EEE-B1AE-62F97B28495E}"/>
    <cellStyle name="Įprastas 5 4 4 2 3 4" xfId="2541" xr:uid="{CF1AA7A0-1E55-4D2B-BE8D-64E5F09D3A9C}"/>
    <cellStyle name="Įprastas 5 4 4 2 3 4 2" xfId="5134" xr:uid="{B4501B04-A126-481C-8135-0425F5968385}"/>
    <cellStyle name="Įprastas 5 4 4 2 3 4_8 priedas" xfId="9977" xr:uid="{BCC24A64-AEF5-4B1E-89D5-DDF0A00F507D}"/>
    <cellStyle name="Įprastas 5 4 4 2 3 5" xfId="6862" xr:uid="{133E943B-1A05-43CB-93FF-4CAE330A61FC}"/>
    <cellStyle name="Įprastas 5 4 4 2 3 6" xfId="3406" xr:uid="{7D935407-A266-4FBE-8342-81DCC7601D86}"/>
    <cellStyle name="Įprastas 5 4 4 2 3_8 priedas" xfId="1315" xr:uid="{00000000-0005-0000-0000-00001D040000}"/>
    <cellStyle name="Įprastas 5 4 4 2 4" xfId="552" xr:uid="{00000000-0005-0000-0000-00001E040000}"/>
    <cellStyle name="Įprastas 5 4 4 2 4 2" xfId="2022" xr:uid="{DE8A14C4-E6BB-4E97-A61E-92BE40753BAC}"/>
    <cellStyle name="Įprastas 5 4 4 2 4 2 2" xfId="6157" xr:uid="{F63CFC9C-F14A-477E-B155-1F98BCF838C2}"/>
    <cellStyle name="Įprastas 5 4 4 2 4 2 3" xfId="7885" xr:uid="{2DE4DD07-7E04-42B9-8F49-D5EF4F1B390C}"/>
    <cellStyle name="Įprastas 5 4 4 2 4 2 4" xfId="4429" xr:uid="{50F2AD72-8C48-4B74-A8C7-D9181984DD90}"/>
    <cellStyle name="Įprastas 5 4 4 2 4 2_8 priedas" xfId="9979" xr:uid="{29A0145D-FBB7-4C9F-9459-264EC4F29CEA}"/>
    <cellStyle name="Įprastas 5 4 4 2 4 3" xfId="2700" xr:uid="{9019D922-47B0-4700-890C-9D1A9E1721F9}"/>
    <cellStyle name="Įprastas 5 4 4 2 4 3 2" xfId="5293" xr:uid="{C57905C9-BEA2-47E8-B2E2-2B73997CBD41}"/>
    <cellStyle name="Įprastas 5 4 4 2 4 3_8 priedas" xfId="9980" xr:uid="{08EC7709-1839-48DD-8287-E9359F89D3D3}"/>
    <cellStyle name="Įprastas 5 4 4 2 4 4" xfId="7021" xr:uid="{3EC5FEB7-21E9-461F-B084-AC234F610CBD}"/>
    <cellStyle name="Įprastas 5 4 4 2 4 5" xfId="3565" xr:uid="{8E80983A-5B23-4F33-BEBB-017BE813396B}"/>
    <cellStyle name="Įprastas 5 4 4 2 4_8 priedas" xfId="9978" xr:uid="{06DF27B8-541B-4B43-BBB1-A836F3FCD6CC}"/>
    <cellStyle name="Įprastas 5 4 4 2 5" xfId="2023" xr:uid="{63D52ED4-479F-47F8-B685-3631D9497590}"/>
    <cellStyle name="Įprastas 5 4 4 2 5 2" xfId="5996" xr:uid="{FF0354AB-90E0-4CB9-9A08-17B3DE3CA5B1}"/>
    <cellStyle name="Įprastas 5 4 4 2 5 3" xfId="7724" xr:uid="{72BAE4DB-8CC6-443C-B44B-35554DDF28FD}"/>
    <cellStyle name="Įprastas 5 4 4 2 5 4" xfId="4268" xr:uid="{C8B3DAEA-3622-46D0-9B68-EEA35666F8BF}"/>
    <cellStyle name="Įprastas 5 4 4 2 5_8 priedas" xfId="9981" xr:uid="{4C85EDE2-4BEF-4961-9191-8C03C830DF76}"/>
    <cellStyle name="Įprastas 5 4 4 2 6" xfId="2539" xr:uid="{4211E32B-D2F7-44E7-9EDF-6611F429162E}"/>
    <cellStyle name="Įprastas 5 4 4 2 6 2" xfId="5132" xr:uid="{E3DBD32B-FA69-42A7-9098-DE45006648E7}"/>
    <cellStyle name="Įprastas 5 4 4 2 6_8 priedas" xfId="9982" xr:uid="{51CEFF7E-5E73-49C2-9280-74AEFAEF7B52}"/>
    <cellStyle name="Įprastas 5 4 4 2 7" xfId="6860" xr:uid="{BC82B82A-026E-4159-95AD-4AF770A0A3B9}"/>
    <cellStyle name="Įprastas 5 4 4 2 8" xfId="3404" xr:uid="{C4920A0C-0AD5-41A9-8BA8-8EFB38F60439}"/>
    <cellStyle name="Įprastas 5 4 4 2_8 priedas" xfId="1224" xr:uid="{00000000-0005-0000-0000-00001F040000}"/>
    <cellStyle name="Įprastas 5 4 4 3" xfId="378" xr:uid="{00000000-0005-0000-0000-000020040000}"/>
    <cellStyle name="Įprastas 5 4 4 3 2" xfId="379" xr:uid="{00000000-0005-0000-0000-000021040000}"/>
    <cellStyle name="Įprastas 5 4 4 3 2 2" xfId="744" xr:uid="{00000000-0005-0000-0000-000022040000}"/>
    <cellStyle name="Įprastas 5 4 4 3 2 2 2" xfId="2024" xr:uid="{405271E1-9E6A-45DD-9D61-7C3AEB46D805}"/>
    <cellStyle name="Įprastas 5 4 4 3 2 2 2 2" xfId="6349" xr:uid="{D1199F65-3869-495D-8C58-3526FE982341}"/>
    <cellStyle name="Įprastas 5 4 4 3 2 2 2 3" xfId="8077" xr:uid="{E340D2B9-1AE4-4FEB-B26B-39357E7F121C}"/>
    <cellStyle name="Įprastas 5 4 4 3 2 2 2 4" xfId="4621" xr:uid="{9F2C47A2-C79A-41D1-8705-080C4E750785}"/>
    <cellStyle name="Įprastas 5 4 4 3 2 2 2_8 priedas" xfId="9984" xr:uid="{59264A57-1440-4010-A1B6-0A5D515BC749}"/>
    <cellStyle name="Įprastas 5 4 4 3 2 2 3" xfId="2892" xr:uid="{E07AA0B7-BCF1-4D40-8B87-0531EEF2DC82}"/>
    <cellStyle name="Įprastas 5 4 4 3 2 2 3 2" xfId="5485" xr:uid="{EA1284B5-E005-4AA1-84EA-1A5DE3C9A37D}"/>
    <cellStyle name="Įprastas 5 4 4 3 2 2 3_8 priedas" xfId="9985" xr:uid="{D89ADDC8-ADBA-45A7-943C-519826F1257E}"/>
    <cellStyle name="Įprastas 5 4 4 3 2 2 4" xfId="7213" xr:uid="{E3657325-FAFC-40B8-984A-41CB5B92C567}"/>
    <cellStyle name="Įprastas 5 4 4 3 2 2 5" xfId="3757" xr:uid="{599840CF-2FE4-4B67-84A6-A060F16A8007}"/>
    <cellStyle name="Įprastas 5 4 4 3 2 2_8 priedas" xfId="9983" xr:uid="{EE16A6FB-98B5-4F76-A1B3-8616414145A6}"/>
    <cellStyle name="Įprastas 5 4 4 3 2 3" xfId="2025" xr:uid="{41BCD554-496E-417D-B5A9-429E4CD02F3D}"/>
    <cellStyle name="Įprastas 5 4 4 3 2 3 2" xfId="6000" xr:uid="{F847875A-BF2E-4E63-969C-98665130714E}"/>
    <cellStyle name="Įprastas 5 4 4 3 2 3 3" xfId="7728" xr:uid="{676C436C-9D1B-427A-A75E-9D515152CA2B}"/>
    <cellStyle name="Įprastas 5 4 4 3 2 3 4" xfId="4272" xr:uid="{838C5D4D-A133-4F53-8D49-065997AF7916}"/>
    <cellStyle name="Įprastas 5 4 4 3 2 3_8 priedas" xfId="9986" xr:uid="{DAADCB13-152D-4C7E-9E91-6B0C35659B8A}"/>
    <cellStyle name="Įprastas 5 4 4 3 2 4" xfId="2543" xr:uid="{DD8F63C6-5C35-4934-A0A6-DD2D7F89AC52}"/>
    <cellStyle name="Įprastas 5 4 4 3 2 4 2" xfId="5136" xr:uid="{85DE7D7A-972B-4554-ACC5-F9818711F33C}"/>
    <cellStyle name="Įprastas 5 4 4 3 2 4_8 priedas" xfId="9987" xr:uid="{FB9337A1-3262-437F-B79E-6A71A0D1E47C}"/>
    <cellStyle name="Įprastas 5 4 4 3 2 5" xfId="6864" xr:uid="{AD21CE63-74D4-41AE-9C72-DF9E2D8A98A9}"/>
    <cellStyle name="Įprastas 5 4 4 3 2 6" xfId="3408" xr:uid="{24A9F6B5-9A26-43DF-9B12-12C29F6E298F}"/>
    <cellStyle name="Įprastas 5 4 4 3 2_8 priedas" xfId="1042" xr:uid="{00000000-0005-0000-0000-000023040000}"/>
    <cellStyle name="Įprastas 5 4 4 3 3" xfId="380" xr:uid="{00000000-0005-0000-0000-000024040000}"/>
    <cellStyle name="Įprastas 5 4 4 3 3 2" xfId="888" xr:uid="{00000000-0005-0000-0000-000025040000}"/>
    <cellStyle name="Įprastas 5 4 4 3 3 2 2" xfId="2026" xr:uid="{8053EABF-2213-4447-A606-83B65674F323}"/>
    <cellStyle name="Įprastas 5 4 4 3 3 2 2 2" xfId="6493" xr:uid="{5CB535F9-E728-474D-AACD-A3C9876DD243}"/>
    <cellStyle name="Įprastas 5 4 4 3 3 2 2 3" xfId="8221" xr:uid="{E8CB5B5B-168C-4AA9-859E-A1F0CED771EB}"/>
    <cellStyle name="Įprastas 5 4 4 3 3 2 2 4" xfId="4765" xr:uid="{A69A5D17-386C-4608-B036-8B89772F3664}"/>
    <cellStyle name="Įprastas 5 4 4 3 3 2 2_8 priedas" xfId="9989" xr:uid="{9E0603E6-850B-4C71-A628-EF282609AF3F}"/>
    <cellStyle name="Įprastas 5 4 4 3 3 2 3" xfId="3036" xr:uid="{3239D73B-DDF2-4E7B-B96B-1BC4946D4B5D}"/>
    <cellStyle name="Įprastas 5 4 4 3 3 2 3 2" xfId="5629" xr:uid="{699960FA-39FB-44D4-8EBF-AFDF7AB09A6B}"/>
    <cellStyle name="Įprastas 5 4 4 3 3 2 3_8 priedas" xfId="9990" xr:uid="{CEC927A0-9DF7-4C08-9290-2A9CD1B34215}"/>
    <cellStyle name="Įprastas 5 4 4 3 3 2 4" xfId="7357" xr:uid="{6CCB78DB-DCAB-4BA4-980A-BB0ADF40807F}"/>
    <cellStyle name="Įprastas 5 4 4 3 3 2 5" xfId="3901" xr:uid="{45B51468-121C-4339-AAFF-B4B51B32B5E2}"/>
    <cellStyle name="Įprastas 5 4 4 3 3 2_8 priedas" xfId="9988" xr:uid="{1DA73625-A6C0-4EEE-88A6-7008E550500D}"/>
    <cellStyle name="Įprastas 5 4 4 3 3 3" xfId="2027" xr:uid="{2A2078A2-2A4C-4E35-8B37-0159F2578406}"/>
    <cellStyle name="Įprastas 5 4 4 3 3 3 2" xfId="6001" xr:uid="{A733FF2A-780B-41BE-8C3A-0CCD007EEA71}"/>
    <cellStyle name="Įprastas 5 4 4 3 3 3 3" xfId="7729" xr:uid="{1955947D-DA86-4672-B6A8-0A60D6623D0E}"/>
    <cellStyle name="Įprastas 5 4 4 3 3 3 4" xfId="4273" xr:uid="{17AEDE5E-722A-4D43-BC92-D164FAC32814}"/>
    <cellStyle name="Įprastas 5 4 4 3 3 3_8 priedas" xfId="9991" xr:uid="{17D18BF0-AA1A-4E73-8FF9-F56B3DEB2488}"/>
    <cellStyle name="Įprastas 5 4 4 3 3 4" xfId="2544" xr:uid="{AFEDF72B-D693-4922-A768-1CD5702CE6FB}"/>
    <cellStyle name="Įprastas 5 4 4 3 3 4 2" xfId="5137" xr:uid="{D091B21F-39CF-4C79-ABE7-9A5B952BAEC5}"/>
    <cellStyle name="Įprastas 5 4 4 3 3 4_8 priedas" xfId="9992" xr:uid="{6D089FB3-E729-4A81-973C-709739108EB9}"/>
    <cellStyle name="Įprastas 5 4 4 3 3 5" xfId="6865" xr:uid="{9297C473-7C1D-4C62-ACFC-9809EDC09401}"/>
    <cellStyle name="Įprastas 5 4 4 3 3 6" xfId="3409" xr:uid="{48BCECE0-C816-4C28-A627-EB85580B9D82}"/>
    <cellStyle name="Įprastas 5 4 4 3 3_8 priedas" xfId="1266" xr:uid="{00000000-0005-0000-0000-000026040000}"/>
    <cellStyle name="Įprastas 5 4 4 3 4" xfId="600" xr:uid="{00000000-0005-0000-0000-000027040000}"/>
    <cellStyle name="Įprastas 5 4 4 3 4 2" xfId="2028" xr:uid="{DD0A102E-817A-43CA-BB09-D911B4B1DCC6}"/>
    <cellStyle name="Įprastas 5 4 4 3 4 2 2" xfId="6205" xr:uid="{1051F752-25C5-48D0-A8A7-46B7D19B9464}"/>
    <cellStyle name="Įprastas 5 4 4 3 4 2 3" xfId="7933" xr:uid="{043CF035-6305-4815-84C8-9232396E0035}"/>
    <cellStyle name="Įprastas 5 4 4 3 4 2 4" xfId="4477" xr:uid="{F8403A65-C37B-48A8-920B-3927004AF84D}"/>
    <cellStyle name="Įprastas 5 4 4 3 4 2_8 priedas" xfId="9994" xr:uid="{4BFC5357-2FF3-4AAD-953A-693E39F0C032}"/>
    <cellStyle name="Įprastas 5 4 4 3 4 3" xfId="2748" xr:uid="{EE41DB8F-28B2-4CB5-81A9-5C4C460E2DEF}"/>
    <cellStyle name="Įprastas 5 4 4 3 4 3 2" xfId="5341" xr:uid="{675718EA-65AD-46C2-A458-75A6D763E594}"/>
    <cellStyle name="Įprastas 5 4 4 3 4 3_8 priedas" xfId="9995" xr:uid="{42D68861-7039-41A6-AD7F-50CE62B71552}"/>
    <cellStyle name="Įprastas 5 4 4 3 4 4" xfId="7069" xr:uid="{7CC41401-8432-4EF2-8271-ABFBAFC9F736}"/>
    <cellStyle name="Įprastas 5 4 4 3 4 5" xfId="3613" xr:uid="{1581FD7C-4550-467D-BDCF-98C481AED2AE}"/>
    <cellStyle name="Įprastas 5 4 4 3 4_8 priedas" xfId="9993" xr:uid="{C0E67EB0-58D8-4691-BCDA-6E4A633C3AE6}"/>
    <cellStyle name="Įprastas 5 4 4 3 5" xfId="2029" xr:uid="{D76C3AC8-04B0-4D3C-9381-94E22A2C9418}"/>
    <cellStyle name="Įprastas 5 4 4 3 5 2" xfId="5999" xr:uid="{46C3241E-A58E-4712-B7B3-916D3458626A}"/>
    <cellStyle name="Įprastas 5 4 4 3 5 3" xfId="7727" xr:uid="{04946307-0B33-4FA1-AF62-B601CADD5CEF}"/>
    <cellStyle name="Įprastas 5 4 4 3 5 4" xfId="4271" xr:uid="{0C179898-0FE2-49CE-9280-564EF3F793C4}"/>
    <cellStyle name="Įprastas 5 4 4 3 5_8 priedas" xfId="9996" xr:uid="{6710253F-435A-4F99-9105-90BC4A7227B0}"/>
    <cellStyle name="Įprastas 5 4 4 3 6" xfId="2542" xr:uid="{42DCD70B-2D45-4058-B0F5-E91CB95EAC5A}"/>
    <cellStyle name="Įprastas 5 4 4 3 6 2" xfId="5135" xr:uid="{DDDDE555-CE5D-4709-8BE1-309B969DE487}"/>
    <cellStyle name="Įprastas 5 4 4 3 6_8 priedas" xfId="9997" xr:uid="{0B116F40-6288-436D-A8A0-000565241525}"/>
    <cellStyle name="Įprastas 5 4 4 3 7" xfId="6863" xr:uid="{0E93DF8C-C631-4D8D-BC43-C15ABBE4F846}"/>
    <cellStyle name="Įprastas 5 4 4 3 8" xfId="3407" xr:uid="{8A1F6415-D7F6-4AFE-A3F2-751A182BC152}"/>
    <cellStyle name="Įprastas 5 4 4 3_8 priedas" xfId="1178" xr:uid="{00000000-0005-0000-0000-000028040000}"/>
    <cellStyle name="Įprastas 5 4 4 4" xfId="381" xr:uid="{00000000-0005-0000-0000-000029040000}"/>
    <cellStyle name="Įprastas 5 4 4 4 2" xfId="648" xr:uid="{00000000-0005-0000-0000-00002A040000}"/>
    <cellStyle name="Įprastas 5 4 4 4 2 2" xfId="2030" xr:uid="{A724037B-DA9E-45DF-85AA-E98956884597}"/>
    <cellStyle name="Įprastas 5 4 4 4 2 2 2" xfId="6253" xr:uid="{F5767102-4352-4189-A699-5DAA6C398CBD}"/>
    <cellStyle name="Įprastas 5 4 4 4 2 2 3" xfId="7981" xr:uid="{78BA39AB-F406-4E76-AABD-F4FE6EA2C96E}"/>
    <cellStyle name="Įprastas 5 4 4 4 2 2 4" xfId="4525" xr:uid="{D25235DD-A056-47B7-88C4-4C9CB2CC4ADD}"/>
    <cellStyle name="Įprastas 5 4 4 4 2 2_8 priedas" xfId="9999" xr:uid="{3C9AD395-BB85-44A8-8E37-E2AB54715C01}"/>
    <cellStyle name="Įprastas 5 4 4 4 2 3" xfId="2796" xr:uid="{E5B097BF-5DB8-4B3E-BC3E-497542BF4391}"/>
    <cellStyle name="Įprastas 5 4 4 4 2 3 2" xfId="5389" xr:uid="{C748094E-1D68-4B84-845D-62A7FF0779AF}"/>
    <cellStyle name="Įprastas 5 4 4 4 2 3_8 priedas" xfId="10000" xr:uid="{2E56AA3C-D8C4-4548-9288-715C1E56EDB0}"/>
    <cellStyle name="Įprastas 5 4 4 4 2 4" xfId="7117" xr:uid="{B3758028-3F4E-49B5-A7F9-BEA153397C07}"/>
    <cellStyle name="Įprastas 5 4 4 4 2 5" xfId="3661" xr:uid="{9F29B63E-67FD-4DF8-A619-1142F3C624D9}"/>
    <cellStyle name="Įprastas 5 4 4 4 2_8 priedas" xfId="9998" xr:uid="{A4F336EE-1CA6-400D-B83C-21A03C30A68D}"/>
    <cellStyle name="Įprastas 5 4 4 4 3" xfId="2031" xr:uid="{AA2EF307-37B5-41A9-B3D3-49A13A49B123}"/>
    <cellStyle name="Įprastas 5 4 4 4 3 2" xfId="6002" xr:uid="{C4FA07CA-3CF2-42FD-A9C4-9701E1C0E5FE}"/>
    <cellStyle name="Įprastas 5 4 4 4 3 3" xfId="7730" xr:uid="{2DDAEFB9-56F4-4F82-BC83-64C80BAC1EFB}"/>
    <cellStyle name="Įprastas 5 4 4 4 3 4" xfId="4274" xr:uid="{E7F50B03-E349-4C26-AB08-7A24547D92B0}"/>
    <cellStyle name="Įprastas 5 4 4 4 3_8 priedas" xfId="10001" xr:uid="{EE911324-28A3-4E3A-BE9B-BCAF108515F1}"/>
    <cellStyle name="Įprastas 5 4 4 4 4" xfId="2545" xr:uid="{8CFE862D-294B-4158-ADAE-0D70D0ADFE74}"/>
    <cellStyle name="Įprastas 5 4 4 4 4 2" xfId="5138" xr:uid="{D47649EC-E8C9-4110-ACFF-F772865E6837}"/>
    <cellStyle name="Įprastas 5 4 4 4 4_8 priedas" xfId="10002" xr:uid="{B773FC58-D6B8-418D-82F6-9F5188B6414F}"/>
    <cellStyle name="Įprastas 5 4 4 4 5" xfId="6866" xr:uid="{99C7A571-12CA-4C32-9033-85FF9E130F09}"/>
    <cellStyle name="Įprastas 5 4 4 4 6" xfId="3410" xr:uid="{5CA0EEA0-1D30-4694-87BA-27D844D95EE8}"/>
    <cellStyle name="Įprastas 5 4 4 4_8 priedas" xfId="1130" xr:uid="{00000000-0005-0000-0000-00002B040000}"/>
    <cellStyle name="Įprastas 5 4 4 5" xfId="382" xr:uid="{00000000-0005-0000-0000-00002C040000}"/>
    <cellStyle name="Įprastas 5 4 4 5 2" xfId="792" xr:uid="{00000000-0005-0000-0000-00002D040000}"/>
    <cellStyle name="Įprastas 5 4 4 5 2 2" xfId="2032" xr:uid="{E8EABDF2-65C0-4049-9B04-048F7922E421}"/>
    <cellStyle name="Įprastas 5 4 4 5 2 2 2" xfId="6397" xr:uid="{E5BF0F8C-8A66-4033-BA57-AE1D609EB80F}"/>
    <cellStyle name="Įprastas 5 4 4 5 2 2 3" xfId="8125" xr:uid="{D9B6928B-40E8-44FE-B183-FFB213112F54}"/>
    <cellStyle name="Įprastas 5 4 4 5 2 2 4" xfId="4669" xr:uid="{E6B8EBFC-4AA6-417A-8241-955BA6DEA520}"/>
    <cellStyle name="Įprastas 5 4 4 5 2 2_8 priedas" xfId="10004" xr:uid="{F0445399-316A-4C72-BF9E-0D9E2D8A9998}"/>
    <cellStyle name="Įprastas 5 4 4 5 2 3" xfId="2940" xr:uid="{9AD7E27F-CDBC-4077-A7BD-D7260C5E57AA}"/>
    <cellStyle name="Įprastas 5 4 4 5 2 3 2" xfId="5533" xr:uid="{D77A6EE8-4F46-4274-9FE5-239D743C59B2}"/>
    <cellStyle name="Įprastas 5 4 4 5 2 3_8 priedas" xfId="10005" xr:uid="{7D27C7D7-E3B1-453C-8C7E-0CDFFB400B8C}"/>
    <cellStyle name="Įprastas 5 4 4 5 2 4" xfId="7261" xr:uid="{1B5EBBD9-A58E-4856-BA4B-8F68D97AE306}"/>
    <cellStyle name="Įprastas 5 4 4 5 2 5" xfId="3805" xr:uid="{9693D237-1077-456A-A252-EAE7AAD8F991}"/>
    <cellStyle name="Įprastas 5 4 4 5 2_8 priedas" xfId="10003" xr:uid="{F4C4B72A-3145-46EE-B1FF-93DB9931AAF3}"/>
    <cellStyle name="Įprastas 5 4 4 5 3" xfId="2033" xr:uid="{3B433783-8D13-4EBC-99AA-671070E4861C}"/>
    <cellStyle name="Įprastas 5 4 4 5 3 2" xfId="6003" xr:uid="{83CC3743-7C6F-4C65-9D2F-B13B831F8D67}"/>
    <cellStyle name="Įprastas 5 4 4 5 3 3" xfId="7731" xr:uid="{C3508E9F-3870-4E76-BF67-B1AC101C6047}"/>
    <cellStyle name="Įprastas 5 4 4 5 3 4" xfId="4275" xr:uid="{39A3060E-B4D5-4399-A908-1C60AA504DEB}"/>
    <cellStyle name="Įprastas 5 4 4 5 3_8 priedas" xfId="10006" xr:uid="{7B34861E-52F7-4E6C-81FD-CFA94F1C7396}"/>
    <cellStyle name="Įprastas 5 4 4 5 4" xfId="2546" xr:uid="{62BA169E-E0B2-491F-BC0B-2393E21A6DB1}"/>
    <cellStyle name="Įprastas 5 4 4 5 4 2" xfId="5139" xr:uid="{CABB2FCD-5E24-467B-A933-5D92A1A681CE}"/>
    <cellStyle name="Įprastas 5 4 4 5 4_8 priedas" xfId="10007" xr:uid="{A3BC0884-F9F8-4B2B-8E54-77E9078CB3F7}"/>
    <cellStyle name="Įprastas 5 4 4 5 5" xfId="6867" xr:uid="{AD2222E2-0B0C-462D-B4FB-DC59C2CCF9B6}"/>
    <cellStyle name="Įprastas 5 4 4 5 6" xfId="3411" xr:uid="{2A9C830E-855D-4FAE-B972-687CC0A84FB3}"/>
    <cellStyle name="Įprastas 5 4 4 5_8 priedas" xfId="994" xr:uid="{00000000-0005-0000-0000-00002E040000}"/>
    <cellStyle name="Įprastas 5 4 4 6" xfId="504" xr:uid="{00000000-0005-0000-0000-00002F040000}"/>
    <cellStyle name="Įprastas 5 4 4 6 2" xfId="2034" xr:uid="{53CD8AE2-E7DC-4D4A-A671-E8D97FEC1563}"/>
    <cellStyle name="Įprastas 5 4 4 6 2 2" xfId="6109" xr:uid="{B76AC19F-0B2E-48F9-9256-0F95CAD40583}"/>
    <cellStyle name="Įprastas 5 4 4 6 2 3" xfId="7837" xr:uid="{2D14A438-CCF4-4A84-8437-217A1E43B773}"/>
    <cellStyle name="Įprastas 5 4 4 6 2 4" xfId="4381" xr:uid="{7F8D7799-A2CF-4098-BE63-8E89858DA714}"/>
    <cellStyle name="Įprastas 5 4 4 6 2_8 priedas" xfId="10009" xr:uid="{2196F70B-0EEF-44C1-A949-4E1A8FB02A3D}"/>
    <cellStyle name="Įprastas 5 4 4 6 3" xfId="2652" xr:uid="{67F4292D-8162-4E4D-8A65-484B76A787DA}"/>
    <cellStyle name="Įprastas 5 4 4 6 3 2" xfId="5245" xr:uid="{C8E8B7E1-7C42-453A-9B54-0C32CA7FB60E}"/>
    <cellStyle name="Įprastas 5 4 4 6 3_8 priedas" xfId="10010" xr:uid="{B6D6B296-8189-48F6-9E22-1138E3493480}"/>
    <cellStyle name="Įprastas 5 4 4 6 4" xfId="6973" xr:uid="{01B72BEF-AFFA-4CC9-A6ED-9555B7727C9F}"/>
    <cellStyle name="Įprastas 5 4 4 6 5" xfId="3517" xr:uid="{7F634027-A774-41C7-8B9C-42CF6A23F95D}"/>
    <cellStyle name="Įprastas 5 4 4 6_8 priedas" xfId="10008" xr:uid="{25560380-3996-4B8B-A574-8AB7CE0D3CD2}"/>
    <cellStyle name="Įprastas 5 4 4 7" xfId="2035" xr:uid="{F7E3508E-BF59-4E6A-A916-A829392682BE}"/>
    <cellStyle name="Įprastas 5 4 4 7 2" xfId="5995" xr:uid="{2D5BCA99-E0C2-4A68-A94D-DA4E646388CD}"/>
    <cellStyle name="Įprastas 5 4 4 7 3" xfId="7723" xr:uid="{7F57BCD6-9A1C-45A1-B4E2-C7375098C42F}"/>
    <cellStyle name="Įprastas 5 4 4 7 4" xfId="4267" xr:uid="{C3B028A1-C528-429C-AAA6-520C67DD8A24}"/>
    <cellStyle name="Įprastas 5 4 4 7_8 priedas" xfId="10011" xr:uid="{9BE0B8D3-7065-4A62-BB9C-F355DF51DB02}"/>
    <cellStyle name="Įprastas 5 4 4 8" xfId="2538" xr:uid="{CD18A3E2-E69F-4926-AE08-493E0898A931}"/>
    <cellStyle name="Įprastas 5 4 4 8 2" xfId="5131" xr:uid="{34FEB443-768E-49AB-908F-60045A67D499}"/>
    <cellStyle name="Įprastas 5 4 4 8_8 priedas" xfId="10012" xr:uid="{A01ED458-CCB6-4B06-A87C-1AD5AFCC5874}"/>
    <cellStyle name="Įprastas 5 4 4 9" xfId="6859" xr:uid="{61A4F3D2-3D84-41AE-A893-0331FCC73A7F}"/>
    <cellStyle name="Įprastas 5 4 4_8 priedas" xfId="978" xr:uid="{00000000-0005-0000-0000-000030040000}"/>
    <cellStyle name="Įprastas 5 4 5" xfId="383" xr:uid="{00000000-0005-0000-0000-000031040000}"/>
    <cellStyle name="Įprastas 5 4 5 2" xfId="384" xr:uid="{00000000-0005-0000-0000-000032040000}"/>
    <cellStyle name="Įprastas 5 4 5 2 2" xfId="672" xr:uid="{00000000-0005-0000-0000-000033040000}"/>
    <cellStyle name="Įprastas 5 4 5 2 2 2" xfId="2036" xr:uid="{5AD5735D-927A-4F7F-BBA2-5B24BA839B6A}"/>
    <cellStyle name="Įprastas 5 4 5 2 2 2 2" xfId="6277" xr:uid="{13804896-518C-4B45-8B12-19AD7459BD3D}"/>
    <cellStyle name="Įprastas 5 4 5 2 2 2 3" xfId="8005" xr:uid="{2001E617-B9E4-4A8D-9466-67B5948235EE}"/>
    <cellStyle name="Įprastas 5 4 5 2 2 2 4" xfId="4549" xr:uid="{85B85A16-8826-4E74-A297-3178CE7F4996}"/>
    <cellStyle name="Įprastas 5 4 5 2 2 2_8 priedas" xfId="10014" xr:uid="{C86A20DB-1FB7-4AC5-8054-14C88F5F572B}"/>
    <cellStyle name="Įprastas 5 4 5 2 2 3" xfId="2820" xr:uid="{4F04ECD8-8BAB-4765-BEA8-E38A2B94D000}"/>
    <cellStyle name="Įprastas 5 4 5 2 2 3 2" xfId="5413" xr:uid="{B5A19DCA-1CE5-47AC-ADBE-C0E71E7BACF4}"/>
    <cellStyle name="Įprastas 5 4 5 2 2 3_8 priedas" xfId="10015" xr:uid="{F3F8D496-9595-4019-B3B2-354D4FA53FE6}"/>
    <cellStyle name="Įprastas 5 4 5 2 2 4" xfId="7141" xr:uid="{C2580866-40CE-491D-89A6-6FB0206BDB48}"/>
    <cellStyle name="Įprastas 5 4 5 2 2 5" xfId="3685" xr:uid="{C1761C5B-6B04-450D-8D0B-A8FF4B6CC8E5}"/>
    <cellStyle name="Įprastas 5 4 5 2 2_8 priedas" xfId="10013" xr:uid="{9163FABB-6222-4DBE-8956-03EB7EB8AF5A}"/>
    <cellStyle name="Įprastas 5 4 5 2 3" xfId="2037" xr:uid="{291CF94C-BA08-4955-A0C9-C93119330261}"/>
    <cellStyle name="Įprastas 5 4 5 2 3 2" xfId="6005" xr:uid="{E2C0E35A-BF0D-4242-A02B-831FAF9F3FF0}"/>
    <cellStyle name="Įprastas 5 4 5 2 3 3" xfId="7733" xr:uid="{9CAD9BD9-B06A-42C3-ADA3-F4F816902226}"/>
    <cellStyle name="Įprastas 5 4 5 2 3 4" xfId="4277" xr:uid="{87773DA0-3999-4D74-9DF3-00B90A16967B}"/>
    <cellStyle name="Įprastas 5 4 5 2 3_8 priedas" xfId="10016" xr:uid="{6C1AA0F4-972D-4646-8169-F21674EC9DD9}"/>
    <cellStyle name="Įprastas 5 4 5 2 4" xfId="2548" xr:uid="{06C9C9D6-9168-4308-8AA3-E89B4F251A9F}"/>
    <cellStyle name="Įprastas 5 4 5 2 4 2" xfId="5141" xr:uid="{E6F160EE-B735-41A0-9900-317662E18AF0}"/>
    <cellStyle name="Įprastas 5 4 5 2 4_8 priedas" xfId="10017" xr:uid="{89275EDA-FAF5-47BF-933B-80FDDADD6351}"/>
    <cellStyle name="Įprastas 5 4 5 2 5" xfId="6869" xr:uid="{D17C9C49-A74E-4EA3-BA34-14082C4F87A3}"/>
    <cellStyle name="Įprastas 5 4 5 2 6" xfId="3413" xr:uid="{680AA83E-DF86-4907-AD86-A6C4267960B6}"/>
    <cellStyle name="Įprastas 5 4 5 2_8 priedas" xfId="1212" xr:uid="{00000000-0005-0000-0000-000034040000}"/>
    <cellStyle name="Įprastas 5 4 5 3" xfId="385" xr:uid="{00000000-0005-0000-0000-000035040000}"/>
    <cellStyle name="Įprastas 5 4 5 3 2" xfId="816" xr:uid="{00000000-0005-0000-0000-000036040000}"/>
    <cellStyle name="Įprastas 5 4 5 3 2 2" xfId="2038" xr:uid="{074410EE-1364-4353-95B0-F1545D7E5474}"/>
    <cellStyle name="Įprastas 5 4 5 3 2 2 2" xfId="6421" xr:uid="{422F2D95-4B05-4571-B89B-8E868C8AAA26}"/>
    <cellStyle name="Įprastas 5 4 5 3 2 2 3" xfId="8149" xr:uid="{A58DC2BA-D9D8-4323-869D-EE7DE0F526BB}"/>
    <cellStyle name="Įprastas 5 4 5 3 2 2 4" xfId="4693" xr:uid="{2686DFD7-90AF-4EAA-8B71-FB85E95D0733}"/>
    <cellStyle name="Įprastas 5 4 5 3 2 2_8 priedas" xfId="10019" xr:uid="{A76F2419-BDC6-4A84-91AA-28DBDA441C07}"/>
    <cellStyle name="Įprastas 5 4 5 3 2 3" xfId="2964" xr:uid="{09DE2462-6870-4ED4-8851-72136D0180BF}"/>
    <cellStyle name="Įprastas 5 4 5 3 2 3 2" xfId="5557" xr:uid="{6E01FFF4-6177-484A-B273-C16261FBF694}"/>
    <cellStyle name="Įprastas 5 4 5 3 2 3_8 priedas" xfId="10020" xr:uid="{3C65BDE2-9FA2-4134-BE85-E182F4147AF5}"/>
    <cellStyle name="Įprastas 5 4 5 3 2 4" xfId="7285" xr:uid="{6E124FDE-813B-417B-95FE-A889A98548FB}"/>
    <cellStyle name="Įprastas 5 4 5 3 2 5" xfId="3829" xr:uid="{CA2A78EA-28A4-4530-8BA1-7FC9192AF63F}"/>
    <cellStyle name="Įprastas 5 4 5 3 2_8 priedas" xfId="10018" xr:uid="{CFDA41CA-ED35-4F7B-91C3-B82EFCAF4830}"/>
    <cellStyle name="Įprastas 5 4 5 3 3" xfId="2039" xr:uid="{33A61622-8D43-403D-9918-E9B2D819DE94}"/>
    <cellStyle name="Įprastas 5 4 5 3 3 2" xfId="6006" xr:uid="{7A41B84E-7B11-4773-94F8-5B5C58908D1D}"/>
    <cellStyle name="Įprastas 5 4 5 3 3 3" xfId="7734" xr:uid="{13ECAAF1-42BC-41E9-B488-F324A6F25989}"/>
    <cellStyle name="Įprastas 5 4 5 3 3 4" xfId="4278" xr:uid="{2E83494E-06A1-45F9-AFAA-628221AC83EC}"/>
    <cellStyle name="Įprastas 5 4 5 3 3_8 priedas" xfId="10021" xr:uid="{B60E48A1-5305-4DBA-AC0A-5E39C0F46D5F}"/>
    <cellStyle name="Įprastas 5 4 5 3 4" xfId="2549" xr:uid="{A6472BFB-A603-4EDE-9998-C8096B3C29DD}"/>
    <cellStyle name="Įprastas 5 4 5 3 4 2" xfId="5142" xr:uid="{B59A41FC-E299-48F1-8EA0-6273DA114E23}"/>
    <cellStyle name="Įprastas 5 4 5 3 4_8 priedas" xfId="10022" xr:uid="{D8087872-E641-403A-87D3-B3E48BC4DD97}"/>
    <cellStyle name="Įprastas 5 4 5 3 5" xfId="6870" xr:uid="{40F76841-FD24-46B5-9AF2-2E7B53E799A7}"/>
    <cellStyle name="Įprastas 5 4 5 3 6" xfId="3414" xr:uid="{9BAD6B52-67F0-4191-B550-E1B7318D5CDC}"/>
    <cellStyle name="Įprastas 5 4 5 3_8 priedas" xfId="1078" xr:uid="{00000000-0005-0000-0000-000037040000}"/>
    <cellStyle name="Įprastas 5 4 5 4" xfId="528" xr:uid="{00000000-0005-0000-0000-000038040000}"/>
    <cellStyle name="Įprastas 5 4 5 4 2" xfId="2040" xr:uid="{40B7D7FC-F98B-427E-B82D-904B8317D82F}"/>
    <cellStyle name="Įprastas 5 4 5 4 2 2" xfId="6133" xr:uid="{2880050F-AF98-4E75-BE45-AFD8E5B07058}"/>
    <cellStyle name="Įprastas 5 4 5 4 2 3" xfId="7861" xr:uid="{C6ED7868-DDFE-4C69-B861-24816B6CA718}"/>
    <cellStyle name="Įprastas 5 4 5 4 2 4" xfId="4405" xr:uid="{66C02056-5D97-49FB-8C68-BE9FEBB12F6B}"/>
    <cellStyle name="Įprastas 5 4 5 4 2_8 priedas" xfId="10024" xr:uid="{0DE98C84-5FCF-4020-8C5F-B0F78BD6118E}"/>
    <cellStyle name="Įprastas 5 4 5 4 3" xfId="2676" xr:uid="{23D04263-A86F-4147-92C3-4AA399C702E9}"/>
    <cellStyle name="Įprastas 5 4 5 4 3 2" xfId="5269" xr:uid="{74980509-3C0F-4757-92A6-2606D51DCFB4}"/>
    <cellStyle name="Įprastas 5 4 5 4 3_8 priedas" xfId="10025" xr:uid="{50BE72AA-D428-4094-AF62-1838822AC749}"/>
    <cellStyle name="Įprastas 5 4 5 4 4" xfId="6997" xr:uid="{9706FB57-1283-4459-8F73-C45E419013C0}"/>
    <cellStyle name="Įprastas 5 4 5 4 5" xfId="3541" xr:uid="{211680D2-73E3-4E5B-B483-88002F18EB3E}"/>
    <cellStyle name="Įprastas 5 4 5 4_8 priedas" xfId="10023" xr:uid="{83C33AEF-F290-4882-9D59-F4A740FC03F0}"/>
    <cellStyle name="Įprastas 5 4 5 5" xfId="2041" xr:uid="{DA8B1210-C45F-4D35-B23B-2FE27E0EE6CD}"/>
    <cellStyle name="Įprastas 5 4 5 5 2" xfId="6004" xr:uid="{CEE38AA3-545F-4748-8258-FF6625B7E764}"/>
    <cellStyle name="Įprastas 5 4 5 5 3" xfId="7732" xr:uid="{25A481D0-461A-43EB-BB50-6F44F72220DE}"/>
    <cellStyle name="Įprastas 5 4 5 5 4" xfId="4276" xr:uid="{C5EC2C37-65F7-47EA-9661-6E69DDDD1B68}"/>
    <cellStyle name="Įprastas 5 4 5 5_8 priedas" xfId="10026" xr:uid="{A47818FE-F637-4A39-9F41-14F206C1F68E}"/>
    <cellStyle name="Įprastas 5 4 5 6" xfId="2547" xr:uid="{F177B805-B00A-4D67-B979-63144BF60AEF}"/>
    <cellStyle name="Įprastas 5 4 5 6 2" xfId="5140" xr:uid="{2AEDF44F-D944-4602-BE94-CAFD1E8CBA3F}"/>
    <cellStyle name="Įprastas 5 4 5 6_8 priedas" xfId="10027" xr:uid="{DA92482C-D25C-446F-932B-DBE30442E8DE}"/>
    <cellStyle name="Įprastas 5 4 5 7" xfId="6868" xr:uid="{B600B7F0-AC90-4D57-B518-7CEBAD57CAE9}"/>
    <cellStyle name="Įprastas 5 4 5 8" xfId="3412" xr:uid="{5648ACF3-0C61-47E0-B9A5-D8BA0A6F95FD}"/>
    <cellStyle name="Įprastas 5 4 5_8 priedas" xfId="953" xr:uid="{00000000-0005-0000-0000-000039040000}"/>
    <cellStyle name="Įprastas 5 4 6" xfId="386" xr:uid="{00000000-0005-0000-0000-00003A040000}"/>
    <cellStyle name="Įprastas 5 4 6 2" xfId="387" xr:uid="{00000000-0005-0000-0000-00003B040000}"/>
    <cellStyle name="Įprastas 5 4 6 2 2" xfId="720" xr:uid="{00000000-0005-0000-0000-00003C040000}"/>
    <cellStyle name="Įprastas 5 4 6 2 2 2" xfId="2042" xr:uid="{92E0F747-FFF4-47D4-8C7C-97CAB910AC8A}"/>
    <cellStyle name="Įprastas 5 4 6 2 2 2 2" xfId="6325" xr:uid="{6EE61E13-9830-4A1A-ADCC-BBC91B16D9CB}"/>
    <cellStyle name="Įprastas 5 4 6 2 2 2 3" xfId="8053" xr:uid="{FDF04AED-1D46-4333-868F-C14464441136}"/>
    <cellStyle name="Įprastas 5 4 6 2 2 2 4" xfId="4597" xr:uid="{2DFD3167-C7EA-4C58-8747-56DD6432D8A5}"/>
    <cellStyle name="Įprastas 5 4 6 2 2 2_8 priedas" xfId="10029" xr:uid="{38C61EE8-F5F7-4BD3-8117-11F4B032E453}"/>
    <cellStyle name="Įprastas 5 4 6 2 2 3" xfId="2868" xr:uid="{E15A563F-47DB-48BB-9344-A5B5C617D5D8}"/>
    <cellStyle name="Įprastas 5 4 6 2 2 3 2" xfId="5461" xr:uid="{CED78863-FFC0-45B2-98F7-1B6EADB9E374}"/>
    <cellStyle name="Įprastas 5 4 6 2 2 3_8 priedas" xfId="10030" xr:uid="{9A665D03-22D1-48FA-B41C-17A0BE00AE99}"/>
    <cellStyle name="Įprastas 5 4 6 2 2 4" xfId="7189" xr:uid="{5C806013-631C-4552-AF08-770D0191347F}"/>
    <cellStyle name="Įprastas 5 4 6 2 2 5" xfId="3733" xr:uid="{22250371-0FC1-4DFD-8FA2-97C45371A109}"/>
    <cellStyle name="Įprastas 5 4 6 2 2_8 priedas" xfId="10028" xr:uid="{15AD3768-2BC5-42A1-A0EB-9B004F8668CD}"/>
    <cellStyle name="Įprastas 5 4 6 2 3" xfId="2043" xr:uid="{3CBA991E-CDEF-4C64-A6A9-F7FA5A64A41F}"/>
    <cellStyle name="Įprastas 5 4 6 2 3 2" xfId="6008" xr:uid="{CDD773C4-9B7D-4D0B-B6F9-613902FCFC09}"/>
    <cellStyle name="Įprastas 5 4 6 2 3 3" xfId="7736" xr:uid="{D55CE3EC-3DEC-45D4-8941-7C7BB97E90ED}"/>
    <cellStyle name="Įprastas 5 4 6 2 3 4" xfId="4280" xr:uid="{850510DA-9D0B-444D-9C10-B40124104C86}"/>
    <cellStyle name="Įprastas 5 4 6 2 3_8 priedas" xfId="10031" xr:uid="{FBC40CA3-F7E0-44D4-AE60-E0CE81065829}"/>
    <cellStyle name="Įprastas 5 4 6 2 4" xfId="2551" xr:uid="{0B2719F6-8182-4921-BD30-E4266B81E04D}"/>
    <cellStyle name="Įprastas 5 4 6 2 4 2" xfId="5144" xr:uid="{4A97ED98-7630-4C9B-97D5-CB69C5E5B9A1}"/>
    <cellStyle name="Įprastas 5 4 6 2 4_8 priedas" xfId="10032" xr:uid="{74742F6B-0D9C-4595-B30B-F1409F5047C0}"/>
    <cellStyle name="Įprastas 5 4 6 2 5" xfId="6872" xr:uid="{63C00978-7237-46C9-AABA-5C840F9DD4C2}"/>
    <cellStyle name="Įprastas 5 4 6 2 6" xfId="3416" xr:uid="{C1D17E65-6052-4F65-BBCC-89F262051D1A}"/>
    <cellStyle name="Įprastas 5 4 6 2_8 priedas" xfId="1166" xr:uid="{00000000-0005-0000-0000-00003D040000}"/>
    <cellStyle name="Įprastas 5 4 6 3" xfId="388" xr:uid="{00000000-0005-0000-0000-00003E040000}"/>
    <cellStyle name="Įprastas 5 4 6 3 2" xfId="864" xr:uid="{00000000-0005-0000-0000-00003F040000}"/>
    <cellStyle name="Įprastas 5 4 6 3 2 2" xfId="2044" xr:uid="{40792702-CB0F-4730-992B-6F55AC477CA8}"/>
    <cellStyle name="Įprastas 5 4 6 3 2 2 2" xfId="6469" xr:uid="{AFA6F360-D678-4CA2-8386-C5D8944734E1}"/>
    <cellStyle name="Įprastas 5 4 6 3 2 2 3" xfId="8197" xr:uid="{45CBF41C-D983-4E7F-94C2-7D0494ABBE4B}"/>
    <cellStyle name="Įprastas 5 4 6 3 2 2 4" xfId="4741" xr:uid="{75F22848-CBF3-4962-B93C-FFFA8584D064}"/>
    <cellStyle name="Įprastas 5 4 6 3 2 2_8 priedas" xfId="10034" xr:uid="{FB415B33-4715-4307-867F-9CBCAFCED41F}"/>
    <cellStyle name="Įprastas 5 4 6 3 2 3" xfId="3012" xr:uid="{70233042-6F78-49FC-A126-207EC6F3507D}"/>
    <cellStyle name="Įprastas 5 4 6 3 2 3 2" xfId="5605" xr:uid="{780ADE28-4D46-4AA6-8D45-10A3E7704D50}"/>
    <cellStyle name="Įprastas 5 4 6 3 2 3_8 priedas" xfId="10035" xr:uid="{782A8B8B-CE70-4A64-943A-447C75BC3768}"/>
    <cellStyle name="Įprastas 5 4 6 3 2 4" xfId="7333" xr:uid="{38C2FD19-AE25-44ED-8E0E-15ED1BBA3183}"/>
    <cellStyle name="Įprastas 5 4 6 3 2 5" xfId="3877" xr:uid="{630DFF0A-9149-4E3C-8FB2-941DB781E6E0}"/>
    <cellStyle name="Įprastas 5 4 6 3 2_8 priedas" xfId="10033" xr:uid="{ACBFAE41-6F8C-4E59-B8E8-B07E7992F239}"/>
    <cellStyle name="Įprastas 5 4 6 3 3" xfId="2045" xr:uid="{38E51159-2455-4C5D-8094-E36FEB423217}"/>
    <cellStyle name="Įprastas 5 4 6 3 3 2" xfId="6009" xr:uid="{A5267606-38E4-48D3-A09E-0504261E035B}"/>
    <cellStyle name="Įprastas 5 4 6 3 3 3" xfId="7737" xr:uid="{D0DDA2DF-A6BE-4EC5-A38A-9B388179F44C}"/>
    <cellStyle name="Įprastas 5 4 6 3 3 4" xfId="4281" xr:uid="{9F946C28-9815-478E-871D-A1E6EBAACED8}"/>
    <cellStyle name="Įprastas 5 4 6 3 3_8 priedas" xfId="10036" xr:uid="{89D8E0B3-0C4F-4DED-A736-37A4FE2C0221}"/>
    <cellStyle name="Įprastas 5 4 6 3 4" xfId="2552" xr:uid="{826A696A-6446-443C-B2A5-38C11047CCA1}"/>
    <cellStyle name="Įprastas 5 4 6 3 4 2" xfId="5145" xr:uid="{2005AD04-6D07-43BC-A8E5-1A0AA292ED1D}"/>
    <cellStyle name="Įprastas 5 4 6 3 4_8 priedas" xfId="10037" xr:uid="{98EC441D-4091-4535-85BF-6810D2B8FCC8}"/>
    <cellStyle name="Įprastas 5 4 6 3 5" xfId="6873" xr:uid="{9324E8CE-D023-485C-8B9E-D4E738DBBFCF}"/>
    <cellStyle name="Įprastas 5 4 6 3 6" xfId="3417" xr:uid="{07A3656E-79E7-4870-92AA-9DE434549640}"/>
    <cellStyle name="Įprastas 5 4 6 3_8 priedas" xfId="1030" xr:uid="{00000000-0005-0000-0000-000040040000}"/>
    <cellStyle name="Įprastas 5 4 6 4" xfId="576" xr:uid="{00000000-0005-0000-0000-000041040000}"/>
    <cellStyle name="Įprastas 5 4 6 4 2" xfId="2046" xr:uid="{E7C40F76-5AF9-4114-B641-278CC3DBE794}"/>
    <cellStyle name="Įprastas 5 4 6 4 2 2" xfId="6181" xr:uid="{B313336A-463C-43BD-B82C-072AD498AB4F}"/>
    <cellStyle name="Įprastas 5 4 6 4 2 3" xfId="7909" xr:uid="{82DDBEA8-3548-44B9-954F-291422C3EEB7}"/>
    <cellStyle name="Įprastas 5 4 6 4 2 4" xfId="4453" xr:uid="{7B4E43AE-51A7-43FF-ADDF-C6805DA48A45}"/>
    <cellStyle name="Įprastas 5 4 6 4 2_8 priedas" xfId="10039" xr:uid="{2E09E742-5AA1-4062-A69C-C593CF2CE9FA}"/>
    <cellStyle name="Įprastas 5 4 6 4 3" xfId="2724" xr:uid="{856AD2E4-4864-4129-B67C-F364C0BE40F9}"/>
    <cellStyle name="Įprastas 5 4 6 4 3 2" xfId="5317" xr:uid="{C3AEA764-3304-4C3B-AC7B-4F475FBE6A8F}"/>
    <cellStyle name="Įprastas 5 4 6 4 3_8 priedas" xfId="10040" xr:uid="{8E5C5801-AA7B-45E6-AA2C-854C0319B2C4}"/>
    <cellStyle name="Įprastas 5 4 6 4 4" xfId="7045" xr:uid="{1DE36278-C20B-4BBB-A0A1-6591F2F3D4B8}"/>
    <cellStyle name="Įprastas 5 4 6 4 5" xfId="3589" xr:uid="{FFC2B41F-48B6-4748-9EB4-F0224FCF8292}"/>
    <cellStyle name="Įprastas 5 4 6 4_8 priedas" xfId="10038" xr:uid="{23221D81-3034-4605-9DCA-7733E1CCC1E8}"/>
    <cellStyle name="Įprastas 5 4 6 5" xfId="2047" xr:uid="{3CBC43BB-A508-4254-8BD3-1F6CDE0C9D19}"/>
    <cellStyle name="Įprastas 5 4 6 5 2" xfId="6007" xr:uid="{742D0F43-74C3-496E-A653-622AEBB7BA1C}"/>
    <cellStyle name="Įprastas 5 4 6 5 3" xfId="7735" xr:uid="{D766C280-CC49-4F52-B48F-CF46DFD03AEF}"/>
    <cellStyle name="Įprastas 5 4 6 5 4" xfId="4279" xr:uid="{613E3ED6-C558-4974-83B0-D166FB6BBD22}"/>
    <cellStyle name="Įprastas 5 4 6 5_8 priedas" xfId="10041" xr:uid="{A1713757-3F86-4D2F-AE5B-CF1DA0F39B1D}"/>
    <cellStyle name="Įprastas 5 4 6 6" xfId="2550" xr:uid="{B8B326BC-691C-4165-B50E-BBDF6EE0977E}"/>
    <cellStyle name="Įprastas 5 4 6 6 2" xfId="5143" xr:uid="{53D66BAC-62A0-4E42-9A83-D42EBE506AAD}"/>
    <cellStyle name="Įprastas 5 4 6 6_8 priedas" xfId="10042" xr:uid="{832E1D4C-D6C0-4FAE-B58F-BF16550D8FF3}"/>
    <cellStyle name="Įprastas 5 4 6 7" xfId="6871" xr:uid="{E8C9EE2A-31CD-4260-8522-8D05D818BD4E}"/>
    <cellStyle name="Įprastas 5 4 6 8" xfId="3415" xr:uid="{34042E69-8DB7-485E-916D-A663C46285FB}"/>
    <cellStyle name="Įprastas 5 4 6_8 priedas" xfId="1303" xr:uid="{00000000-0005-0000-0000-000042040000}"/>
    <cellStyle name="Įprastas 5 4 7" xfId="389" xr:uid="{00000000-0005-0000-0000-000043040000}"/>
    <cellStyle name="Įprastas 5 4 7 2" xfId="624" xr:uid="{00000000-0005-0000-0000-000044040000}"/>
    <cellStyle name="Įprastas 5 4 7 2 2" xfId="2048" xr:uid="{BE432EE4-6032-4847-B639-E3BB6C1C27C6}"/>
    <cellStyle name="Įprastas 5 4 7 2 2 2" xfId="6229" xr:uid="{E9C6ADEC-FB6C-48DF-BC9C-65006EF58EBE}"/>
    <cellStyle name="Įprastas 5 4 7 2 2 3" xfId="7957" xr:uid="{CDC29555-723D-48A5-9C68-49E1A704ADCD}"/>
    <cellStyle name="Įprastas 5 4 7 2 2 4" xfId="4501" xr:uid="{4F0431FE-5A83-4B53-97CC-23B11356C75D}"/>
    <cellStyle name="Įprastas 5 4 7 2 2_8 priedas" xfId="10044" xr:uid="{BAEBA752-1FC8-4369-B3FC-09E73A605CCE}"/>
    <cellStyle name="Įprastas 5 4 7 2 3" xfId="2772" xr:uid="{440CCFE3-C804-4827-9085-D054369E979A}"/>
    <cellStyle name="Įprastas 5 4 7 2 3 2" xfId="5365" xr:uid="{B78CF799-C17E-4129-A90C-81F5155FEDD2}"/>
    <cellStyle name="Įprastas 5 4 7 2 3_8 priedas" xfId="10045" xr:uid="{24DD8381-342C-41B5-814B-93FF3CF918EF}"/>
    <cellStyle name="Įprastas 5 4 7 2 4" xfId="7093" xr:uid="{BD7A13F1-0C6C-4D31-AF9F-0ED3C55B84DD}"/>
    <cellStyle name="Įprastas 5 4 7 2 5" xfId="3637" xr:uid="{A990DB83-1BD2-489F-AE46-A8E903821CC7}"/>
    <cellStyle name="Įprastas 5 4 7 2_8 priedas" xfId="10043" xr:uid="{11C74EEE-502B-4936-9DF2-A44D00DA733C}"/>
    <cellStyle name="Įprastas 5 4 7 3" xfId="2049" xr:uid="{B8E8C726-4703-4E82-B5AF-AD96EB3FFA96}"/>
    <cellStyle name="Įprastas 5 4 7 3 2" xfId="6010" xr:uid="{032D2F7A-4890-41EA-96CE-AC057142BC83}"/>
    <cellStyle name="Įprastas 5 4 7 3 3" xfId="7738" xr:uid="{EA5E2A0C-FB82-4B56-86D1-7EEBD52C40CF}"/>
    <cellStyle name="Įprastas 5 4 7 3 4" xfId="4282" xr:uid="{62AA44A4-60EA-45B8-BE8C-8916BCC02C70}"/>
    <cellStyle name="Įprastas 5 4 7 3_8 priedas" xfId="10046" xr:uid="{B746489C-C0E8-4AA2-BD29-3748974F8B58}"/>
    <cellStyle name="Įprastas 5 4 7 4" xfId="2553" xr:uid="{874EEAC2-4D67-48D6-B980-0DDF8E9FBD62}"/>
    <cellStyle name="Įprastas 5 4 7 4 2" xfId="5146" xr:uid="{B4D07728-FFC6-438E-B623-10D29889990B}"/>
    <cellStyle name="Įprastas 5 4 7 4_8 priedas" xfId="10047" xr:uid="{764F3096-6832-4900-ACCC-8C9ED91DF5B2}"/>
    <cellStyle name="Įprastas 5 4 7 5" xfId="6874" xr:uid="{467C4990-DE8F-49FA-8BF6-E2E399A2ECAC}"/>
    <cellStyle name="Įprastas 5 4 7 6" xfId="3418" xr:uid="{6BE7FEAD-11D2-49ED-825F-A5055775FAA5}"/>
    <cellStyle name="Įprastas 5 4 7_8 priedas" xfId="1254" xr:uid="{00000000-0005-0000-0000-000045040000}"/>
    <cellStyle name="Įprastas 5 4 8" xfId="390" xr:uid="{00000000-0005-0000-0000-000046040000}"/>
    <cellStyle name="Įprastas 5 4 8 2" xfId="768" xr:uid="{00000000-0005-0000-0000-000047040000}"/>
    <cellStyle name="Įprastas 5 4 8 2 2" xfId="2050" xr:uid="{77BC1D0A-0A2A-42E4-B2CB-0286F6E9BF08}"/>
    <cellStyle name="Įprastas 5 4 8 2 2 2" xfId="6373" xr:uid="{71CDBCFF-7063-4D17-8E8A-2D9C7DDF29F6}"/>
    <cellStyle name="Įprastas 5 4 8 2 2 3" xfId="8101" xr:uid="{E8A9C329-2C7A-48DD-A3A2-E5AA1E5C00C6}"/>
    <cellStyle name="Įprastas 5 4 8 2 2 4" xfId="4645" xr:uid="{FE9B2413-2BF1-4CC1-A4E8-669C7747E1AA}"/>
    <cellStyle name="Įprastas 5 4 8 2 2_8 priedas" xfId="10049" xr:uid="{AFBDB941-0183-47E0-97B1-4A10535F7AF4}"/>
    <cellStyle name="Įprastas 5 4 8 2 3" xfId="2916" xr:uid="{A77AA183-3B5D-47C5-B06A-54B3AADE3F63}"/>
    <cellStyle name="Įprastas 5 4 8 2 3 2" xfId="5509" xr:uid="{C9BC58CB-BD73-47F8-8B5B-03FE636FF4A3}"/>
    <cellStyle name="Įprastas 5 4 8 2 3_8 priedas" xfId="10050" xr:uid="{DF1F73BA-1A29-4CE6-80B6-00CEA5738075}"/>
    <cellStyle name="Įprastas 5 4 8 2 4" xfId="7237" xr:uid="{37866735-0A0B-466B-989B-34F367E7ED3F}"/>
    <cellStyle name="Įprastas 5 4 8 2 5" xfId="3781" xr:uid="{FE48556F-3DED-4EF9-B77C-DA150D79E7DC}"/>
    <cellStyle name="Įprastas 5 4 8 2_8 priedas" xfId="10048" xr:uid="{7E07F55A-C3AA-40CD-B5F5-3DEA25823113}"/>
    <cellStyle name="Įprastas 5 4 8 3" xfId="2051" xr:uid="{2273FB1A-5C4D-4B73-B3C6-BF6B9724F8DC}"/>
    <cellStyle name="Įprastas 5 4 8 3 2" xfId="6011" xr:uid="{EB6DC638-A1E1-4700-AC97-37F1FACB0B41}"/>
    <cellStyle name="Įprastas 5 4 8 3 3" xfId="7739" xr:uid="{6DFDCD96-B6D0-40D5-B664-7314BBB69B39}"/>
    <cellStyle name="Įprastas 5 4 8 3 4" xfId="4283" xr:uid="{5C6D302B-7E7E-4221-A5ED-66556D022DC1}"/>
    <cellStyle name="Įprastas 5 4 8 3_8 priedas" xfId="10051" xr:uid="{791FC921-CC53-4247-BD48-48BA5A32D34D}"/>
    <cellStyle name="Įprastas 5 4 8 4" xfId="2554" xr:uid="{1AEA1152-BE73-40E8-9282-B18070C69237}"/>
    <cellStyle name="Įprastas 5 4 8 4 2" xfId="5147" xr:uid="{B5F85A4E-8DF0-4011-AF29-B6CB919BCFC0}"/>
    <cellStyle name="Įprastas 5 4 8 4_8 priedas" xfId="10052" xr:uid="{C81FEB35-3AA2-46AC-A25D-9F7883853210}"/>
    <cellStyle name="Įprastas 5 4 8 5" xfId="6875" xr:uid="{0664BBA4-A14C-4174-A328-B2F291705481}"/>
    <cellStyle name="Įprastas 5 4 8 6" xfId="3419" xr:uid="{5A657D0E-D2A6-495A-B49B-5CC1578C11B6}"/>
    <cellStyle name="Įprastas 5 4 8_8 priedas" xfId="1118" xr:uid="{00000000-0005-0000-0000-000048040000}"/>
    <cellStyle name="Įprastas 5 4 9" xfId="480" xr:uid="{00000000-0005-0000-0000-000049040000}"/>
    <cellStyle name="Įprastas 5 4 9 2" xfId="2052" xr:uid="{57947466-B709-444B-9587-A8064565F6D7}"/>
    <cellStyle name="Įprastas 5 4 9 2 2" xfId="6085" xr:uid="{301D071F-821D-4DC9-B03E-F8ADCD9CB306}"/>
    <cellStyle name="Įprastas 5 4 9 2 3" xfId="7813" xr:uid="{AD0E9ED1-BEF7-443C-A19B-1408CB9DB18A}"/>
    <cellStyle name="Įprastas 5 4 9 2 4" xfId="4357" xr:uid="{7145AAE0-3527-41DA-9DD7-0EB5BACB4BF2}"/>
    <cellStyle name="Įprastas 5 4 9 2_8 priedas" xfId="10054" xr:uid="{169B30F8-46E4-41D7-BB2E-9815893F8AA0}"/>
    <cellStyle name="Įprastas 5 4 9 3" xfId="2628" xr:uid="{EB5BEDF3-82EE-42FA-BDE4-CCE4E9AB9A46}"/>
    <cellStyle name="Įprastas 5 4 9 3 2" xfId="5221" xr:uid="{9DA78980-952E-45C6-B794-23BDF2545D46}"/>
    <cellStyle name="Įprastas 5 4 9 3_8 priedas" xfId="10055" xr:uid="{01016118-C73B-4901-83FD-FF7ED80D63BF}"/>
    <cellStyle name="Įprastas 5 4 9 4" xfId="6949" xr:uid="{81B23561-8E5C-4856-B8BE-D297669D349E}"/>
    <cellStyle name="Įprastas 5 4 9 5" xfId="3493" xr:uid="{C4202F12-2486-4EB3-9C89-6F76792F7BC7}"/>
    <cellStyle name="Įprastas 5 4 9_8 priedas" xfId="10053" xr:uid="{7711ED09-2E39-452C-83A7-1F2EF251FC39}"/>
    <cellStyle name="Įprastas 5 4_8 priedas" xfId="31" xr:uid="{00000000-0005-0000-0000-00004A040000}"/>
    <cellStyle name="Įprastas 5 5" xfId="22" xr:uid="{00000000-0005-0000-0000-00004B040000}"/>
    <cellStyle name="Įprastas 5 5 10" xfId="2197" xr:uid="{5057F248-AA5D-4224-BAF2-7FAF2667D283}"/>
    <cellStyle name="Įprastas 5 5 10 2" xfId="4790" xr:uid="{B38E3C4A-1753-4F18-857D-7050309365B3}"/>
    <cellStyle name="Įprastas 5 5 10_8 priedas" xfId="10056" xr:uid="{EBC0DB7A-62D6-488D-ADD5-E6BB93CB7BFB}"/>
    <cellStyle name="Įprastas 5 5 11" xfId="6518" xr:uid="{121031BF-B23B-40E0-A948-FC4375B5B98B}"/>
    <cellStyle name="Įprastas 5 5 12" xfId="3062" xr:uid="{B2EE1FD3-8BB7-44A3-B83B-E17761E462B2}"/>
    <cellStyle name="Įprastas 5 5 2" xfId="392" xr:uid="{00000000-0005-0000-0000-00004C040000}"/>
    <cellStyle name="Įprastas 5 5 2 10" xfId="6876" xr:uid="{9CCEB0B1-8073-4EAB-9D42-5EEEBE822203}"/>
    <cellStyle name="Įprastas 5 5 2 11" xfId="3420" xr:uid="{44DDACC7-1DFF-4789-99BF-6F276B36961F}"/>
    <cellStyle name="Įprastas 5 5 2 2" xfId="393" xr:uid="{00000000-0005-0000-0000-00004D040000}"/>
    <cellStyle name="Įprastas 5 5 2 2 10" xfId="3421" xr:uid="{F1E61308-9651-4761-8957-7CB68EB6A100}"/>
    <cellStyle name="Įprastas 5 5 2 2 2" xfId="394" xr:uid="{00000000-0005-0000-0000-00004E040000}"/>
    <cellStyle name="Įprastas 5 5 2 2 2 2" xfId="395" xr:uid="{00000000-0005-0000-0000-00004F040000}"/>
    <cellStyle name="Įprastas 5 5 2 2 2 2 2" xfId="709" xr:uid="{00000000-0005-0000-0000-000050040000}"/>
    <cellStyle name="Įprastas 5 5 2 2 2 2 2 2" xfId="2053" xr:uid="{282EE9B8-A3F0-4B25-9DFC-CCFBAC647AA2}"/>
    <cellStyle name="Įprastas 5 5 2 2 2 2 2 2 2" xfId="6314" xr:uid="{0C935C16-A13A-4B9F-B916-371B5201BEFC}"/>
    <cellStyle name="Įprastas 5 5 2 2 2 2 2 2 3" xfId="8042" xr:uid="{5F4B843B-B5C7-4C70-A8A7-71B6EC8F36DC}"/>
    <cellStyle name="Įprastas 5 5 2 2 2 2 2 2 4" xfId="4586" xr:uid="{7518928F-6568-4D88-B76F-1C7678063D23}"/>
    <cellStyle name="Įprastas 5 5 2 2 2 2 2 2_8 priedas" xfId="10058" xr:uid="{2DD30604-751E-47E3-8CA4-BDF8307557D3}"/>
    <cellStyle name="Įprastas 5 5 2 2 2 2 2 3" xfId="2857" xr:uid="{F57D6D78-2A1D-4629-87A0-367D1ED683D1}"/>
    <cellStyle name="Įprastas 5 5 2 2 2 2 2 3 2" xfId="5450" xr:uid="{5B8D4FD4-2D47-4F28-B857-4723A2AD61E3}"/>
    <cellStyle name="Įprastas 5 5 2 2 2 2 2 3_8 priedas" xfId="10059" xr:uid="{8E48D2FB-219D-4C24-AC7B-9D0552157963}"/>
    <cellStyle name="Įprastas 5 5 2 2 2 2 2 4" xfId="7178" xr:uid="{D98D3E77-A25F-45F7-BD24-D1081CFF0DE7}"/>
    <cellStyle name="Įprastas 5 5 2 2 2 2 2 5" xfId="3722" xr:uid="{314D50EE-A6FA-4CC2-AB68-5C201C66872D}"/>
    <cellStyle name="Įprastas 5 5 2 2 2 2 2_8 priedas" xfId="10057" xr:uid="{4E352483-ABD8-40D6-9F36-312147C837B6}"/>
    <cellStyle name="Įprastas 5 5 2 2 2 2 3" xfId="2054" xr:uid="{5E2D4537-259D-4D97-A3EB-9FBEFF93DECD}"/>
    <cellStyle name="Įprastas 5 5 2 2 2 2 3 2" xfId="6015" xr:uid="{15C87D41-6EE6-4680-8155-6564D922DAAA}"/>
    <cellStyle name="Įprastas 5 5 2 2 2 2 3 3" xfId="7743" xr:uid="{54DE99FA-6B70-45D2-961F-9DBCA4A89BE4}"/>
    <cellStyle name="Įprastas 5 5 2 2 2 2 3 4" xfId="4287" xr:uid="{A9B7DD61-C653-4704-8348-E86AD088C54C}"/>
    <cellStyle name="Įprastas 5 5 2 2 2 2 3_8 priedas" xfId="10060" xr:uid="{024A03D2-4E4D-45C7-88CA-39BB363069F8}"/>
    <cellStyle name="Įprastas 5 5 2 2 2 2 4" xfId="2558" xr:uid="{AB7EA798-02D4-4ADC-90B2-6004B4AD775E}"/>
    <cellStyle name="Įprastas 5 5 2 2 2 2 4 2" xfId="5151" xr:uid="{51B120DA-10A4-4268-BE8F-5D129DFAA5AD}"/>
    <cellStyle name="Įprastas 5 5 2 2 2 2 4_8 priedas" xfId="10061" xr:uid="{E9D643E4-946F-455F-BC63-10AC7CD449FC}"/>
    <cellStyle name="Įprastas 5 5 2 2 2 2 5" xfId="6879" xr:uid="{5299803A-F662-42A6-B042-4A8688E7BB39}"/>
    <cellStyle name="Įprastas 5 5 2 2 2 2 6" xfId="3423" xr:uid="{A70CAC5F-CA91-4A5A-A1C9-B0A9353E113C}"/>
    <cellStyle name="Įprastas 5 5 2 2 2 2_8 priedas" xfId="1053" xr:uid="{00000000-0005-0000-0000-000051040000}"/>
    <cellStyle name="Įprastas 5 5 2 2 2 3" xfId="396" xr:uid="{00000000-0005-0000-0000-000052040000}"/>
    <cellStyle name="Įprastas 5 5 2 2 2 3 2" xfId="853" xr:uid="{00000000-0005-0000-0000-000053040000}"/>
    <cellStyle name="Įprastas 5 5 2 2 2 3 2 2" xfId="2055" xr:uid="{D8F10BD9-F0DF-4463-B449-A6863384CDB4}"/>
    <cellStyle name="Įprastas 5 5 2 2 2 3 2 2 2" xfId="6458" xr:uid="{E5C02981-E7C9-48D9-B034-78671D4962C5}"/>
    <cellStyle name="Įprastas 5 5 2 2 2 3 2 2 3" xfId="8186" xr:uid="{CCA1D881-DF39-4D8B-8991-805C0CBF526B}"/>
    <cellStyle name="Įprastas 5 5 2 2 2 3 2 2 4" xfId="4730" xr:uid="{D8E6E74D-7B3C-45CA-95BE-9632320879FC}"/>
    <cellStyle name="Įprastas 5 5 2 2 2 3 2 2_8 priedas" xfId="10063" xr:uid="{9DC5E5BB-AFEC-44BC-BB1B-F9D2F3DD7E21}"/>
    <cellStyle name="Įprastas 5 5 2 2 2 3 2 3" xfId="3001" xr:uid="{AEA4508F-386D-4E81-9FDA-D13AC8C082E6}"/>
    <cellStyle name="Įprastas 5 5 2 2 2 3 2 3 2" xfId="5594" xr:uid="{77049228-F00F-4901-B204-9FAD9FC7AD77}"/>
    <cellStyle name="Įprastas 5 5 2 2 2 3 2 3_8 priedas" xfId="10064" xr:uid="{F2CA11EF-6325-40CB-A74B-D25BF5AA771A}"/>
    <cellStyle name="Įprastas 5 5 2 2 2 3 2 4" xfId="7322" xr:uid="{07B89046-073C-486E-BE7C-1141BF02FFA9}"/>
    <cellStyle name="Įprastas 5 5 2 2 2 3 2 5" xfId="3866" xr:uid="{4DA775D7-A127-4470-9C33-C7B534D09691}"/>
    <cellStyle name="Įprastas 5 5 2 2 2 3 2_8 priedas" xfId="10062" xr:uid="{D17CFAAA-96A0-48DA-972E-66AE21B6C077}"/>
    <cellStyle name="Įprastas 5 5 2 2 2 3 3" xfId="2056" xr:uid="{6BADB086-3972-48F6-8673-1282D13E1B15}"/>
    <cellStyle name="Įprastas 5 5 2 2 2 3 3 2" xfId="6016" xr:uid="{93AAE340-C107-47AB-A21D-CAADF317E8A6}"/>
    <cellStyle name="Įprastas 5 5 2 2 2 3 3 3" xfId="7744" xr:uid="{940EF7EE-BB05-4241-B9F0-C33760EACF04}"/>
    <cellStyle name="Įprastas 5 5 2 2 2 3 3 4" xfId="4288" xr:uid="{32CDA728-5E59-4451-8FCD-332EFEFEE66B}"/>
    <cellStyle name="Įprastas 5 5 2 2 2 3 3_8 priedas" xfId="10065" xr:uid="{C3B2D1DA-B16B-49C4-9377-DDD50BF601E2}"/>
    <cellStyle name="Įprastas 5 5 2 2 2 3 4" xfId="2559" xr:uid="{938B3944-F898-4824-83F9-A510DE8B6A85}"/>
    <cellStyle name="Įprastas 5 5 2 2 2 3 4 2" xfId="5152" xr:uid="{7AB46370-8073-4C01-BA0C-10280CC86F41}"/>
    <cellStyle name="Įprastas 5 5 2 2 2 3 4_8 priedas" xfId="10066" xr:uid="{9C964117-AA08-4580-A308-6C9D4226BAA4}"/>
    <cellStyle name="Įprastas 5 5 2 2 2 3 5" xfId="6880" xr:uid="{F8AEA771-1AA2-4DD8-9752-5ED0DCFDCD52}"/>
    <cellStyle name="Įprastas 5 5 2 2 2 3 6" xfId="3424" xr:uid="{BABE09E4-8EBA-46BF-8A05-DB5BAA483D3D}"/>
    <cellStyle name="Įprastas 5 5 2 2 2 3_8 priedas" xfId="1277" xr:uid="{00000000-0005-0000-0000-000054040000}"/>
    <cellStyle name="Įprastas 5 5 2 2 2 4" xfId="565" xr:uid="{00000000-0005-0000-0000-000055040000}"/>
    <cellStyle name="Įprastas 5 5 2 2 2 4 2" xfId="2057" xr:uid="{F6926941-EF14-4AD3-8535-86BABCEF535E}"/>
    <cellStyle name="Įprastas 5 5 2 2 2 4 2 2" xfId="6170" xr:uid="{917BDB51-ED32-448B-A10B-9E56434A93E3}"/>
    <cellStyle name="Įprastas 5 5 2 2 2 4 2 3" xfId="7898" xr:uid="{B21CFF92-54D7-49AB-A847-36BC8B86BD67}"/>
    <cellStyle name="Įprastas 5 5 2 2 2 4 2 4" xfId="4442" xr:uid="{5706A9E8-72FA-4A53-9141-9877CD8EFC73}"/>
    <cellStyle name="Įprastas 5 5 2 2 2 4 2_8 priedas" xfId="10068" xr:uid="{92B688C6-267C-4329-B9C4-54499AAF2B12}"/>
    <cellStyle name="Įprastas 5 5 2 2 2 4 3" xfId="2713" xr:uid="{14379744-449E-4885-9C2A-ADB87DD29BFE}"/>
    <cellStyle name="Įprastas 5 5 2 2 2 4 3 2" xfId="5306" xr:uid="{9C840FCF-6EAA-4207-A6AD-C484D6C9EDEC}"/>
    <cellStyle name="Įprastas 5 5 2 2 2 4 3_8 priedas" xfId="10069" xr:uid="{FEA32E76-40E1-48F3-9381-CD41CD8390DB}"/>
    <cellStyle name="Įprastas 5 5 2 2 2 4 4" xfId="7034" xr:uid="{17777AA6-EC8A-4609-818B-EF277013237E}"/>
    <cellStyle name="Įprastas 5 5 2 2 2 4 5" xfId="3578" xr:uid="{B9A128DE-6758-4497-9BE2-409E906F1004}"/>
    <cellStyle name="Įprastas 5 5 2 2 2 4_8 priedas" xfId="10067" xr:uid="{A438B794-F1BD-4F41-B520-25A432F8B84A}"/>
    <cellStyle name="Įprastas 5 5 2 2 2 5" xfId="2058" xr:uid="{C3F23238-D955-46E2-B3BD-EB9BE8738335}"/>
    <cellStyle name="Įprastas 5 5 2 2 2 5 2" xfId="6014" xr:uid="{6532F797-D7B1-479E-860A-16F9DC81A32E}"/>
    <cellStyle name="Įprastas 5 5 2 2 2 5 3" xfId="7742" xr:uid="{5DE1CE0F-EDF8-498E-B5C4-A18FA53CDBA7}"/>
    <cellStyle name="Įprastas 5 5 2 2 2 5 4" xfId="4286" xr:uid="{867EED3B-0C3F-4DF9-8AF1-C888FE69170A}"/>
    <cellStyle name="Įprastas 5 5 2 2 2 5_8 priedas" xfId="10070" xr:uid="{28D8B3FE-4801-44A2-A01D-217053F694DD}"/>
    <cellStyle name="Įprastas 5 5 2 2 2 6" xfId="2557" xr:uid="{43B8C1E9-4300-46A4-9FFD-4022F127ADA9}"/>
    <cellStyle name="Įprastas 5 5 2 2 2 6 2" xfId="5150" xr:uid="{229D245C-50C2-443E-BBD6-6B4141369B59}"/>
    <cellStyle name="Įprastas 5 5 2 2 2 6_8 priedas" xfId="10071" xr:uid="{1F72E077-2203-4489-8C60-84FB11DBF885}"/>
    <cellStyle name="Įprastas 5 5 2 2 2 7" xfId="6878" xr:uid="{0BCBEAE8-C17D-4DEF-84E2-526A4EDFF15F}"/>
    <cellStyle name="Įprastas 5 5 2 2 2 8" xfId="3422" xr:uid="{A2051E11-2E6E-42B6-BDD1-23188CDAEF8C}"/>
    <cellStyle name="Įprastas 5 5 2 2 2_8 priedas" xfId="1189" xr:uid="{00000000-0005-0000-0000-000056040000}"/>
    <cellStyle name="Įprastas 5 5 2 2 3" xfId="397" xr:uid="{00000000-0005-0000-0000-000057040000}"/>
    <cellStyle name="Įprastas 5 5 2 2 3 2" xfId="398" xr:uid="{00000000-0005-0000-0000-000058040000}"/>
    <cellStyle name="Įprastas 5 5 2 2 3 2 2" xfId="757" xr:uid="{00000000-0005-0000-0000-000059040000}"/>
    <cellStyle name="Įprastas 5 5 2 2 3 2 2 2" xfId="2059" xr:uid="{1DE0C2D7-90B6-4BAD-A03A-7C778BA941A1}"/>
    <cellStyle name="Įprastas 5 5 2 2 3 2 2 2 2" xfId="6362" xr:uid="{9A6D648A-3E81-4D4F-BD94-515A8DCFF480}"/>
    <cellStyle name="Įprastas 5 5 2 2 3 2 2 2 3" xfId="8090" xr:uid="{2C5AA4DD-1CA8-4569-875F-9F3D13607BA4}"/>
    <cellStyle name="Įprastas 5 5 2 2 3 2 2 2 4" xfId="4634" xr:uid="{49E09DB6-6B0D-4AD6-B065-9587C02DFDEF}"/>
    <cellStyle name="Įprastas 5 5 2 2 3 2 2 2_8 priedas" xfId="10073" xr:uid="{23389A62-BBFD-4CDC-B381-621D46607C2A}"/>
    <cellStyle name="Įprastas 5 5 2 2 3 2 2 3" xfId="2905" xr:uid="{8DEF43B4-5F86-4217-8D2B-77EDA5895337}"/>
    <cellStyle name="Įprastas 5 5 2 2 3 2 2 3 2" xfId="5498" xr:uid="{4D2EAD5D-6A2E-4FFA-AE09-3855515D1B2F}"/>
    <cellStyle name="Įprastas 5 5 2 2 3 2 2 3_8 priedas" xfId="10074" xr:uid="{ACC3EFD8-F6C4-4C4C-B2D8-16670C8E7C1A}"/>
    <cellStyle name="Įprastas 5 5 2 2 3 2 2 4" xfId="7226" xr:uid="{C04CAA50-3449-4829-AE3B-9D73391B44DF}"/>
    <cellStyle name="Įprastas 5 5 2 2 3 2 2 5" xfId="3770" xr:uid="{759A6763-DC5F-4D87-AA47-8C774B5C1962}"/>
    <cellStyle name="Įprastas 5 5 2 2 3 2 2_8 priedas" xfId="10072" xr:uid="{47824C09-C74B-4A81-82DE-D90439196CDB}"/>
    <cellStyle name="Įprastas 5 5 2 2 3 2 3" xfId="2060" xr:uid="{315A77A4-7B45-42C3-8D95-EF7691605DFB}"/>
    <cellStyle name="Įprastas 5 5 2 2 3 2 3 2" xfId="6018" xr:uid="{114EC4DA-7A2A-45BB-B52C-BF2FF193D394}"/>
    <cellStyle name="Įprastas 5 5 2 2 3 2 3 3" xfId="7746" xr:uid="{0ACF9DF9-18EB-4B8A-B76E-CCA6693663BA}"/>
    <cellStyle name="Įprastas 5 5 2 2 3 2 3 4" xfId="4290" xr:uid="{2650B920-F587-4845-A43C-1E9D8A6FAFDD}"/>
    <cellStyle name="Įprastas 5 5 2 2 3 2 3_8 priedas" xfId="10075" xr:uid="{4E483E7D-BDA1-48BA-9F29-BEE233695C9A}"/>
    <cellStyle name="Įprastas 5 5 2 2 3 2 4" xfId="2561" xr:uid="{E8AC1BF7-5C71-4AE3-B03F-824AEACFA76D}"/>
    <cellStyle name="Įprastas 5 5 2 2 3 2 4 2" xfId="5154" xr:uid="{2CFDB9EB-87C6-4007-8E25-F888F94A393C}"/>
    <cellStyle name="Įprastas 5 5 2 2 3 2 4_8 priedas" xfId="10076" xr:uid="{3E123D7F-F1A4-4AE1-886F-E7BDF25750B8}"/>
    <cellStyle name="Įprastas 5 5 2 2 3 2 5" xfId="6882" xr:uid="{1419F332-EA7A-4515-A380-8054171124EB}"/>
    <cellStyle name="Įprastas 5 5 2 2 3 2 6" xfId="3426" xr:uid="{0C66EA47-9028-41DF-B28F-1D3F2ECEDFD1}"/>
    <cellStyle name="Įprastas 5 5 2 2 3 2_8 priedas" xfId="1005" xr:uid="{00000000-0005-0000-0000-00005A040000}"/>
    <cellStyle name="Įprastas 5 5 2 2 3 3" xfId="399" xr:uid="{00000000-0005-0000-0000-00005B040000}"/>
    <cellStyle name="Įprastas 5 5 2 2 3 3 2" xfId="901" xr:uid="{00000000-0005-0000-0000-00005C040000}"/>
    <cellStyle name="Įprastas 5 5 2 2 3 3 2 2" xfId="2061" xr:uid="{7E2ECBBA-157C-4CEE-A93B-477BB674BB6C}"/>
    <cellStyle name="Įprastas 5 5 2 2 3 3 2 2 2" xfId="6506" xr:uid="{EEF2188B-4A41-48C8-AA1F-06708E697267}"/>
    <cellStyle name="Įprastas 5 5 2 2 3 3 2 2 3" xfId="8234" xr:uid="{A0152A58-3B4E-447B-8EF7-B2DEDEF92490}"/>
    <cellStyle name="Įprastas 5 5 2 2 3 3 2 2 4" xfId="4778" xr:uid="{675A9201-128D-426A-B49B-F103D6CC9EB5}"/>
    <cellStyle name="Įprastas 5 5 2 2 3 3 2 2_8 priedas" xfId="10078" xr:uid="{F2923AA2-CE6A-4A67-9B21-F1F0525DC34A}"/>
    <cellStyle name="Įprastas 5 5 2 2 3 3 2 3" xfId="3049" xr:uid="{4D1D9380-E94F-4637-BD21-A0013D414C93}"/>
    <cellStyle name="Įprastas 5 5 2 2 3 3 2 3 2" xfId="5642" xr:uid="{65E65340-02E3-44B3-BE9C-C7D2EF65A68A}"/>
    <cellStyle name="Įprastas 5 5 2 2 3 3 2 3_8 priedas" xfId="10079" xr:uid="{CF8B4716-4D84-45C9-ADC9-07855FE3D4D7}"/>
    <cellStyle name="Įprastas 5 5 2 2 3 3 2 4" xfId="7370" xr:uid="{BC412D47-0CCB-42A6-AF38-9C72847A1AA0}"/>
    <cellStyle name="Įprastas 5 5 2 2 3 3 2 5" xfId="3914" xr:uid="{15F9A9FD-43E7-40B6-A17E-5542442B254F}"/>
    <cellStyle name="Įprastas 5 5 2 2 3 3 2_8 priedas" xfId="10077" xr:uid="{C746F6D0-0877-464E-8AD8-3D2DE368A935}"/>
    <cellStyle name="Įprastas 5 5 2 2 3 3 3" xfId="2062" xr:uid="{E507838B-3D2C-4A5D-AFE0-AE68F8B5AD66}"/>
    <cellStyle name="Įprastas 5 5 2 2 3 3 3 2" xfId="6019" xr:uid="{CD6E5B42-3AEE-49C7-8D7D-3EEC4A4666F6}"/>
    <cellStyle name="Įprastas 5 5 2 2 3 3 3 3" xfId="7747" xr:uid="{CC72F438-2BF4-4B8C-8C38-9465DC1B2506}"/>
    <cellStyle name="Įprastas 5 5 2 2 3 3 3 4" xfId="4291" xr:uid="{39EA9968-47C8-48E6-AE72-D012B0CBD8EF}"/>
    <cellStyle name="Įprastas 5 5 2 2 3 3 3_8 priedas" xfId="10080" xr:uid="{A07DF41D-1799-4B7E-AA55-0CAE80E9F597}"/>
    <cellStyle name="Įprastas 5 5 2 2 3 3 4" xfId="2562" xr:uid="{C2C98CFB-A2A8-487C-8212-5734B5B5F8EC}"/>
    <cellStyle name="Įprastas 5 5 2 2 3 3 4 2" xfId="5155" xr:uid="{EC344430-74F3-47EE-8E15-DA0CBF8A712D}"/>
    <cellStyle name="Įprastas 5 5 2 2 3 3 4_8 priedas" xfId="10081" xr:uid="{8C037C25-BE41-4A3E-9984-4565888FA016}"/>
    <cellStyle name="Įprastas 5 5 2 2 3 3 5" xfId="6883" xr:uid="{CCB4C1D9-7DA6-411E-97E5-99C8AF7CE750}"/>
    <cellStyle name="Įprastas 5 5 2 2 3 3 6" xfId="3427" xr:uid="{5E08F13F-B7F7-4F85-975E-3383E819B739}"/>
    <cellStyle name="Įprastas 5 5 2 2 3 3_8 priedas" xfId="964" xr:uid="{00000000-0005-0000-0000-00005D040000}"/>
    <cellStyle name="Įprastas 5 5 2 2 3 4" xfId="613" xr:uid="{00000000-0005-0000-0000-00005E040000}"/>
    <cellStyle name="Įprastas 5 5 2 2 3 4 2" xfId="2063" xr:uid="{73566FE5-7DFC-4DAD-976A-4E7A4257DB7D}"/>
    <cellStyle name="Įprastas 5 5 2 2 3 4 2 2" xfId="6218" xr:uid="{0E22DC5F-9F3F-4CE7-8D08-D28DC628E62C}"/>
    <cellStyle name="Įprastas 5 5 2 2 3 4 2 3" xfId="7946" xr:uid="{92C0FA09-B657-4461-A75E-A4A4993B5D33}"/>
    <cellStyle name="Įprastas 5 5 2 2 3 4 2 4" xfId="4490" xr:uid="{B07C089F-9D47-4EFF-8B93-0745F309A2FD}"/>
    <cellStyle name="Įprastas 5 5 2 2 3 4 2_8 priedas" xfId="10083" xr:uid="{E01ECE0E-42F6-496A-BBE9-7A73581FC1B6}"/>
    <cellStyle name="Įprastas 5 5 2 2 3 4 3" xfId="2761" xr:uid="{C8EF78BC-A2F4-4BC7-8067-3FBDEA204B18}"/>
    <cellStyle name="Įprastas 5 5 2 2 3 4 3 2" xfId="5354" xr:uid="{EC283927-44A5-4C4B-9689-69C0D4495E4B}"/>
    <cellStyle name="Įprastas 5 5 2 2 3 4 3_8 priedas" xfId="10084" xr:uid="{46102C7B-28C2-435B-B1AC-7D6BCAD1D92D}"/>
    <cellStyle name="Įprastas 5 5 2 2 3 4 4" xfId="7082" xr:uid="{C4E22698-0C24-451C-B11E-6A686D962D84}"/>
    <cellStyle name="Įprastas 5 5 2 2 3 4 5" xfId="3626" xr:uid="{C6126C54-13AA-4A89-BCED-9E597D16DC6D}"/>
    <cellStyle name="Įprastas 5 5 2 2 3 4_8 priedas" xfId="10082" xr:uid="{B37D17C7-3ACF-4B0C-89B9-C7536BF7B80A}"/>
    <cellStyle name="Įprastas 5 5 2 2 3 5" xfId="2064" xr:uid="{F858B0D3-2F40-48E3-893A-93E94D06DE0F}"/>
    <cellStyle name="Įprastas 5 5 2 2 3 5 2" xfId="6017" xr:uid="{980FBF8C-0E25-412C-AB30-7992D1634C5F}"/>
    <cellStyle name="Įprastas 5 5 2 2 3 5 3" xfId="7745" xr:uid="{C85C21B9-5FF3-43CA-A537-30C91A2FD750}"/>
    <cellStyle name="Įprastas 5 5 2 2 3 5 4" xfId="4289" xr:uid="{28A72F43-1575-4496-92E1-2095E66D8956}"/>
    <cellStyle name="Įprastas 5 5 2 2 3 5_8 priedas" xfId="10085" xr:uid="{D63FCE3E-0D5D-4D58-9176-DADB10C9205C}"/>
    <cellStyle name="Įprastas 5 5 2 2 3 6" xfId="2560" xr:uid="{26E283ED-047C-4580-BCD6-11CD7060692F}"/>
    <cellStyle name="Įprastas 5 5 2 2 3 6 2" xfId="5153" xr:uid="{51655E2D-F5E1-46AC-A2A3-6C4F94F7268C}"/>
    <cellStyle name="Įprastas 5 5 2 2 3 6_8 priedas" xfId="10086" xr:uid="{65335F30-40C0-49FF-94DA-28C437F0B578}"/>
    <cellStyle name="Įprastas 5 5 2 2 3 7" xfId="6881" xr:uid="{0B37DD7C-7156-4BFB-8651-5FE64C0D733C}"/>
    <cellStyle name="Įprastas 5 5 2 2 3 8" xfId="3425" xr:uid="{A1693086-AC7F-4779-9B9C-7CAAA7B97BB5}"/>
    <cellStyle name="Įprastas 5 5 2 2 3_8 priedas" xfId="1141" xr:uid="{00000000-0005-0000-0000-00005F040000}"/>
    <cellStyle name="Įprastas 5 5 2 2 4" xfId="400" xr:uid="{00000000-0005-0000-0000-000060040000}"/>
    <cellStyle name="Įprastas 5 5 2 2 4 2" xfId="661" xr:uid="{00000000-0005-0000-0000-000061040000}"/>
    <cellStyle name="Įprastas 5 5 2 2 4 2 2" xfId="2065" xr:uid="{00A015E1-3890-47CB-8537-D650A55D0B61}"/>
    <cellStyle name="Įprastas 5 5 2 2 4 2 2 2" xfId="6266" xr:uid="{9ECA9613-7BFD-4BE7-B305-E3FAA8216925}"/>
    <cellStyle name="Įprastas 5 5 2 2 4 2 2 3" xfId="7994" xr:uid="{D41FDFAD-A17F-4A43-AD0B-DF9A661926DE}"/>
    <cellStyle name="Įprastas 5 5 2 2 4 2 2 4" xfId="4538" xr:uid="{B5494824-00FC-480F-9AA0-682B7F3D8EDE}"/>
    <cellStyle name="Įprastas 5 5 2 2 4 2 2_8 priedas" xfId="10088" xr:uid="{7A125DF7-BF0D-41DB-B770-4F989BD5D90E}"/>
    <cellStyle name="Įprastas 5 5 2 2 4 2 3" xfId="2809" xr:uid="{23EF3568-B64A-411A-B445-42C5E3263973}"/>
    <cellStyle name="Įprastas 5 5 2 2 4 2 3 2" xfId="5402" xr:uid="{97E64D2F-7E26-4C42-9A5B-F43000382D27}"/>
    <cellStyle name="Įprastas 5 5 2 2 4 2 3_8 priedas" xfId="10089" xr:uid="{4414B544-7D20-4095-87BE-FFB3203BDDED}"/>
    <cellStyle name="Įprastas 5 5 2 2 4 2 4" xfId="7130" xr:uid="{EB86213F-4F96-4203-8BD9-DDB158814A41}"/>
    <cellStyle name="Įprastas 5 5 2 2 4 2 5" xfId="3674" xr:uid="{267BD697-3D54-4FF2-BD3C-B23225B5DAFC}"/>
    <cellStyle name="Įprastas 5 5 2 2 4 2_8 priedas" xfId="10087" xr:uid="{21A53B33-E09E-4EAB-AD4D-2FAEF064009D}"/>
    <cellStyle name="Įprastas 5 5 2 2 4 3" xfId="2066" xr:uid="{486E306F-3F22-41E2-B0F8-B877FA43D3BE}"/>
    <cellStyle name="Įprastas 5 5 2 2 4 3 2" xfId="6020" xr:uid="{0149941C-FDB8-4EB8-942D-636CF80645D0}"/>
    <cellStyle name="Įprastas 5 5 2 2 4 3 3" xfId="7748" xr:uid="{107AD10F-3283-4706-BBB7-1680DCBE902A}"/>
    <cellStyle name="Įprastas 5 5 2 2 4 3 4" xfId="4292" xr:uid="{FF054459-5AEB-4E90-A991-CE236F501B73}"/>
    <cellStyle name="Įprastas 5 5 2 2 4 3_8 priedas" xfId="10090" xr:uid="{EC40645A-00CC-4141-96F5-8CC8F6DB8067}"/>
    <cellStyle name="Įprastas 5 5 2 2 4 4" xfId="2563" xr:uid="{C2882ED7-A244-4A8A-AB90-3695D97726F5}"/>
    <cellStyle name="Įprastas 5 5 2 2 4 4 2" xfId="5156" xr:uid="{9F51862F-A0B2-43A8-91C2-8E2EC03A6BB1}"/>
    <cellStyle name="Įprastas 5 5 2 2 4 4_8 priedas" xfId="10091" xr:uid="{5DEA7555-A801-4C77-B987-FA9F15801BFC}"/>
    <cellStyle name="Įprastas 5 5 2 2 4 5" xfId="6884" xr:uid="{5C5C3797-267F-45B6-94ED-4A8B68398FD5}"/>
    <cellStyle name="Įprastas 5 5 2 2 4 6" xfId="3428" xr:uid="{2C63EF8A-3191-43F4-9B04-D722088C7B2D}"/>
    <cellStyle name="Įprastas 5 5 2 2 4_8 priedas" xfId="935" xr:uid="{00000000-0005-0000-0000-000062040000}"/>
    <cellStyle name="Įprastas 5 5 2 2 5" xfId="401" xr:uid="{00000000-0005-0000-0000-000063040000}"/>
    <cellStyle name="Įprastas 5 5 2 2 5 2" xfId="805" xr:uid="{00000000-0005-0000-0000-000064040000}"/>
    <cellStyle name="Įprastas 5 5 2 2 5 2 2" xfId="2067" xr:uid="{9B5D6AE9-36BD-4DA3-AD42-F875BCC8ACC6}"/>
    <cellStyle name="Įprastas 5 5 2 2 5 2 2 2" xfId="6410" xr:uid="{E997AB92-ED2B-4276-8EA3-4A266B67CD01}"/>
    <cellStyle name="Įprastas 5 5 2 2 5 2 2 3" xfId="8138" xr:uid="{1DA5C8ED-5656-4678-AD12-2FEF597B48DF}"/>
    <cellStyle name="Įprastas 5 5 2 2 5 2 2 4" xfId="4682" xr:uid="{8C31FD79-8356-41F0-B6F8-A4B7658BB4AD}"/>
    <cellStyle name="Įprastas 5 5 2 2 5 2 2_8 priedas" xfId="10093" xr:uid="{3CD1B096-DF19-4B06-B910-92FFA87C0A95}"/>
    <cellStyle name="Įprastas 5 5 2 2 5 2 3" xfId="2953" xr:uid="{CDDE77CD-9E04-423B-9F6E-9FCABD39E20C}"/>
    <cellStyle name="Įprastas 5 5 2 2 5 2 3 2" xfId="5546" xr:uid="{7B1257F4-A122-45C1-A230-83915B51C466}"/>
    <cellStyle name="Įprastas 5 5 2 2 5 2 3_8 priedas" xfId="10094" xr:uid="{C22DF1ED-B0EC-4FC5-9D1C-79CF4F83D30D}"/>
    <cellStyle name="Įprastas 5 5 2 2 5 2 4" xfId="7274" xr:uid="{FA59496F-F7A1-4303-9A12-BF7CD7F6BBC4}"/>
    <cellStyle name="Įprastas 5 5 2 2 5 2 5" xfId="3818" xr:uid="{D3C3BA80-4102-499E-B6C4-64F7CBFE1DF5}"/>
    <cellStyle name="Įprastas 5 5 2 2 5 2_8 priedas" xfId="10092" xr:uid="{86102A9D-4289-4641-8B1D-7BA80269AE3B}"/>
    <cellStyle name="Įprastas 5 5 2 2 5 3" xfId="2068" xr:uid="{FA8FCDED-09B2-4665-909E-46B2F7186454}"/>
    <cellStyle name="Įprastas 5 5 2 2 5 3 2" xfId="6021" xr:uid="{D13E7C09-256E-4832-8039-488D9AB224A3}"/>
    <cellStyle name="Įprastas 5 5 2 2 5 3 3" xfId="7749" xr:uid="{C3D2511B-3832-4EB3-BC69-49E4E72FC95D}"/>
    <cellStyle name="Įprastas 5 5 2 2 5 3 4" xfId="4293" xr:uid="{D85040DC-76FD-4F50-A0BD-A63C65E93707}"/>
    <cellStyle name="Įprastas 5 5 2 2 5 3_8 priedas" xfId="10095" xr:uid="{87DBBAC4-EB00-41BC-A7D3-FA1DE9BA53D5}"/>
    <cellStyle name="Įprastas 5 5 2 2 5 4" xfId="2564" xr:uid="{DCDA639C-C826-4D1A-A678-C14C61882C14}"/>
    <cellStyle name="Įprastas 5 5 2 2 5 4 2" xfId="5157" xr:uid="{9C616619-B5F0-408D-B643-4FDCA0921BFD}"/>
    <cellStyle name="Įprastas 5 5 2 2 5 4_8 priedas" xfId="10096" xr:uid="{A3E6FA28-B945-4D53-B1EE-8C4E9121BCB1}"/>
    <cellStyle name="Įprastas 5 5 2 2 5 5" xfId="6885" xr:uid="{467E3463-4132-423C-8E24-2518CD974D4A}"/>
    <cellStyle name="Įprastas 5 5 2 2 5 6" xfId="3429" xr:uid="{653960E8-F07A-413A-A285-03860154C6B3}"/>
    <cellStyle name="Įprastas 5 5 2 2 5_8 priedas" xfId="918" xr:uid="{00000000-0005-0000-0000-000065040000}"/>
    <cellStyle name="Įprastas 5 5 2 2 6" xfId="517" xr:uid="{00000000-0005-0000-0000-000066040000}"/>
    <cellStyle name="Įprastas 5 5 2 2 6 2" xfId="2069" xr:uid="{7E8A977F-DBAA-4FC6-9A4D-9E0EE6B0697D}"/>
    <cellStyle name="Įprastas 5 5 2 2 6 2 2" xfId="6122" xr:uid="{A1378422-109F-481F-91C3-D3CC4AE2CBD8}"/>
    <cellStyle name="Įprastas 5 5 2 2 6 2 3" xfId="7850" xr:uid="{4BAFAC07-93CD-4036-A5DD-43B020A2FFC7}"/>
    <cellStyle name="Įprastas 5 5 2 2 6 2 4" xfId="4394" xr:uid="{EF7E6501-D0D1-4D8D-8ADB-BAA82974A604}"/>
    <cellStyle name="Įprastas 5 5 2 2 6 2_8 priedas" xfId="10098" xr:uid="{DB71C77B-CE1E-485D-8B28-B83698444F4E}"/>
    <cellStyle name="Įprastas 5 5 2 2 6 3" xfId="2665" xr:uid="{C501BAD8-D837-4D7A-B19C-D677D23E9E6D}"/>
    <cellStyle name="Įprastas 5 5 2 2 6 3 2" xfId="5258" xr:uid="{02B96520-3026-4832-87BC-F0379D760A59}"/>
    <cellStyle name="Įprastas 5 5 2 2 6 3_8 priedas" xfId="10099" xr:uid="{3211D870-210D-4330-80E1-B22854ED8961}"/>
    <cellStyle name="Įprastas 5 5 2 2 6 4" xfId="6986" xr:uid="{D7A7BA02-4BC3-4908-A3EF-6751EC008F75}"/>
    <cellStyle name="Įprastas 5 5 2 2 6 5" xfId="3530" xr:uid="{6ACDF29B-7A9E-42B9-A28E-C294E19DCEE0}"/>
    <cellStyle name="Įprastas 5 5 2 2 6_8 priedas" xfId="10097" xr:uid="{F0226F36-20D6-4B20-8214-2E2840357ADA}"/>
    <cellStyle name="Įprastas 5 5 2 2 7" xfId="2070" xr:uid="{B57341C9-DDF5-4CD2-A5B1-2D32BCA5A751}"/>
    <cellStyle name="Įprastas 5 5 2 2 7 2" xfId="6013" xr:uid="{AA21A00D-1247-4B6D-B814-71FEF55AC961}"/>
    <cellStyle name="Įprastas 5 5 2 2 7 3" xfId="7741" xr:uid="{AE0A4244-13E7-433D-A9E3-5624554A12C6}"/>
    <cellStyle name="Įprastas 5 5 2 2 7 4" xfId="4285" xr:uid="{DE95D666-D09A-4C0F-BAAE-666230752577}"/>
    <cellStyle name="Įprastas 5 5 2 2 7_8 priedas" xfId="10100" xr:uid="{1A49149E-8EF6-40A5-A46F-0C670E08E216}"/>
    <cellStyle name="Įprastas 5 5 2 2 8" xfId="2556" xr:uid="{1A48FE98-D4E9-403C-BFF1-0E71349F71C4}"/>
    <cellStyle name="Įprastas 5 5 2 2 8 2" xfId="5149" xr:uid="{B4829660-89FC-4534-B72F-6C2121DAE304}"/>
    <cellStyle name="Įprastas 5 5 2 2 8_8 priedas" xfId="10101" xr:uid="{D4F452F9-8F17-4067-B436-60CB5D698909}"/>
    <cellStyle name="Įprastas 5 5 2 2 9" xfId="6877" xr:uid="{C45EE23E-199F-43CE-9EF5-302A9B76DE42}"/>
    <cellStyle name="Įprastas 5 5 2 2_8 priedas" xfId="1326" xr:uid="{00000000-0005-0000-0000-000067040000}"/>
    <cellStyle name="Įprastas 5 5 2 3" xfId="402" xr:uid="{00000000-0005-0000-0000-000068040000}"/>
    <cellStyle name="Įprastas 5 5 2 3 2" xfId="403" xr:uid="{00000000-0005-0000-0000-000069040000}"/>
    <cellStyle name="Įprastas 5 5 2 3 2 2" xfId="685" xr:uid="{00000000-0005-0000-0000-00006A040000}"/>
    <cellStyle name="Įprastas 5 5 2 3 2 2 2" xfId="2071" xr:uid="{383F8548-EDB1-48DD-88E9-0A9B3A6A361E}"/>
    <cellStyle name="Įprastas 5 5 2 3 2 2 2 2" xfId="6290" xr:uid="{17E98517-9D20-460A-93F3-DFA272F65C89}"/>
    <cellStyle name="Įprastas 5 5 2 3 2 2 2 3" xfId="8018" xr:uid="{ADE72FA7-4C82-49AB-8C38-440257C4704A}"/>
    <cellStyle name="Įprastas 5 5 2 3 2 2 2 4" xfId="4562" xr:uid="{A3F7AAC3-23F9-4F6F-A704-DC871A29FC16}"/>
    <cellStyle name="Įprastas 5 5 2 3 2 2 2_8 priedas" xfId="10103" xr:uid="{D0DC8473-2F27-4653-8ADA-24641BB45A53}"/>
    <cellStyle name="Įprastas 5 5 2 3 2 2 3" xfId="2833" xr:uid="{B15B1BC4-962D-4A31-A005-1CA7BF94F714}"/>
    <cellStyle name="Įprastas 5 5 2 3 2 2 3 2" xfId="5426" xr:uid="{E2BB8D8C-94B9-4074-AEE0-026D37925C28}"/>
    <cellStyle name="Įprastas 5 5 2 3 2 2 3_8 priedas" xfId="10104" xr:uid="{42EF3E1A-222C-411F-B972-98915CAAE874}"/>
    <cellStyle name="Įprastas 5 5 2 3 2 2 4" xfId="7154" xr:uid="{E68B34A3-97CB-467F-9C84-AA6935107041}"/>
    <cellStyle name="Įprastas 5 5 2 3 2 2 5" xfId="3698" xr:uid="{6D279421-EFD4-45AF-B358-C7D5972FB38E}"/>
    <cellStyle name="Įprastas 5 5 2 3 2 2_8 priedas" xfId="10102" xr:uid="{1EB113B5-CEAD-4D9F-86C1-3B02E7FCA99E}"/>
    <cellStyle name="Įprastas 5 5 2 3 2 3" xfId="2072" xr:uid="{966F05AA-DF3E-425B-BA00-E19B250440FB}"/>
    <cellStyle name="Įprastas 5 5 2 3 2 3 2" xfId="6023" xr:uid="{A28EBDCC-2CBC-453D-87F3-032294841041}"/>
    <cellStyle name="Įprastas 5 5 2 3 2 3 3" xfId="7751" xr:uid="{C674339E-24DF-41E4-8EB0-079E1D6B33B8}"/>
    <cellStyle name="Įprastas 5 5 2 3 2 3 4" xfId="4295" xr:uid="{F1EE4207-1F56-4C67-9B55-104C8D5486CE}"/>
    <cellStyle name="Įprastas 5 5 2 3 2 3_8 priedas" xfId="10105" xr:uid="{D6BB891E-55D6-4740-B655-70B3D57DE0A6}"/>
    <cellStyle name="Įprastas 5 5 2 3 2 4" xfId="2566" xr:uid="{338CB172-89F2-4320-B9FD-EA978099BF90}"/>
    <cellStyle name="Įprastas 5 5 2 3 2 4 2" xfId="5159" xr:uid="{44B7B07C-5C3D-4C9A-8929-007F1D6F3D4A}"/>
    <cellStyle name="Įprastas 5 5 2 3 2 4_8 priedas" xfId="10106" xr:uid="{F52304E2-A050-4F68-9CB9-2701244BF9E9}"/>
    <cellStyle name="Įprastas 5 5 2 3 2 5" xfId="6887" xr:uid="{B7364062-0E8B-4272-971C-0485472C57C7}"/>
    <cellStyle name="Įprastas 5 5 2 3 2 6" xfId="3431" xr:uid="{8A51D670-3372-4084-B891-6C40414B1E29}"/>
    <cellStyle name="Įprastas 5 5 2 3 2_8 priedas" xfId="919" xr:uid="{00000000-0005-0000-0000-00006B040000}"/>
    <cellStyle name="Įprastas 5 5 2 3 3" xfId="404" xr:uid="{00000000-0005-0000-0000-00006C040000}"/>
    <cellStyle name="Įprastas 5 5 2 3 3 2" xfId="829" xr:uid="{00000000-0005-0000-0000-00006D040000}"/>
    <cellStyle name="Įprastas 5 5 2 3 3 2 2" xfId="2073" xr:uid="{CA0CD155-A60E-41E8-B13B-5D7CDEA274B2}"/>
    <cellStyle name="Įprastas 5 5 2 3 3 2 2 2" xfId="6434" xr:uid="{F365DB50-9842-4C8B-AFCA-4B2E40FD1627}"/>
    <cellStyle name="Įprastas 5 5 2 3 3 2 2 3" xfId="8162" xr:uid="{F17642BF-1FEE-4060-BFBD-191A575368AC}"/>
    <cellStyle name="Įprastas 5 5 2 3 3 2 2 4" xfId="4706" xr:uid="{E0C96134-3A15-4A8E-A378-FB666D9F7D88}"/>
    <cellStyle name="Įprastas 5 5 2 3 3 2 2_8 priedas" xfId="10108" xr:uid="{82FF6273-17F4-430D-8BE5-609C7842B96D}"/>
    <cellStyle name="Įprastas 5 5 2 3 3 2 3" xfId="2977" xr:uid="{CDD8877F-A576-4588-8D2F-E7A8F54C0640}"/>
    <cellStyle name="Įprastas 5 5 2 3 3 2 3 2" xfId="5570" xr:uid="{3D7C69C7-974A-4047-8FB2-5BFB36F506DB}"/>
    <cellStyle name="Įprastas 5 5 2 3 3 2 3_8 priedas" xfId="10109" xr:uid="{2926A8D1-61AB-42D0-A550-BC8D7B6EFFFA}"/>
    <cellStyle name="Įprastas 5 5 2 3 3 2 4" xfId="7298" xr:uid="{63676EDD-BC67-4F38-A382-60C59F354756}"/>
    <cellStyle name="Įprastas 5 5 2 3 3 2 5" xfId="3842" xr:uid="{E113020C-45CE-4C6C-9D0C-2A68C1567F1B}"/>
    <cellStyle name="Įprastas 5 5 2 3 3 2_8 priedas" xfId="10107" xr:uid="{B5D1CF52-ED66-4AA4-8988-991A8DA3E43F}"/>
    <cellStyle name="Įprastas 5 5 2 3 3 3" xfId="2074" xr:uid="{AF4BF807-6CA8-44D9-B65F-5D3386E91F3E}"/>
    <cellStyle name="Įprastas 5 5 2 3 3 3 2" xfId="6024" xr:uid="{27988363-FEFB-43F1-8FBC-E28468772921}"/>
    <cellStyle name="Įprastas 5 5 2 3 3 3 3" xfId="7752" xr:uid="{A2F0995F-B61B-4E62-B574-859C2E2F1699}"/>
    <cellStyle name="Įprastas 5 5 2 3 3 3 4" xfId="4296" xr:uid="{8176D49F-DC29-4AFA-B37F-BEB4636C2ED6}"/>
    <cellStyle name="Įprastas 5 5 2 3 3 3_8 priedas" xfId="10110" xr:uid="{0D74B130-AD65-436C-B36F-7C61FE7E4B39}"/>
    <cellStyle name="Įprastas 5 5 2 3 3 4" xfId="2567" xr:uid="{A9A07A85-0CB7-4E60-90D7-2B005361854E}"/>
    <cellStyle name="Įprastas 5 5 2 3 3 4 2" xfId="5160" xr:uid="{663F38E4-5E1B-4A4B-80D8-67B4BF5EA5E8}"/>
    <cellStyle name="Įprastas 5 5 2 3 3 4_8 priedas" xfId="10111" xr:uid="{9F444267-B5AD-4608-8288-60DCB101C816}"/>
    <cellStyle name="Įprastas 5 5 2 3 3 5" xfId="6888" xr:uid="{476CC09F-68C1-4D1D-AA8F-58914C3D1ECA}"/>
    <cellStyle name="Įprastas 5 5 2 3 3 6" xfId="3432" xr:uid="{94BC21D0-71DE-4DF7-BE27-5D0C367C61BF}"/>
    <cellStyle name="Įprastas 5 5 2 3 3_8 priedas" xfId="1190" xr:uid="{00000000-0005-0000-0000-00006E040000}"/>
    <cellStyle name="Įprastas 5 5 2 3 4" xfId="541" xr:uid="{00000000-0005-0000-0000-00006F040000}"/>
    <cellStyle name="Įprastas 5 5 2 3 4 2" xfId="2075" xr:uid="{DE850220-F119-413B-991D-AA7E737EAE11}"/>
    <cellStyle name="Įprastas 5 5 2 3 4 2 2" xfId="6146" xr:uid="{936B3743-028D-4193-9678-17F47074DFC0}"/>
    <cellStyle name="Įprastas 5 5 2 3 4 2 3" xfId="7874" xr:uid="{5A28C06E-0FB0-46CB-9BF9-C83A1D01D251}"/>
    <cellStyle name="Įprastas 5 5 2 3 4 2 4" xfId="4418" xr:uid="{0DBF6CC8-A31C-4833-B9A2-7E3B4338ED78}"/>
    <cellStyle name="Įprastas 5 5 2 3 4 2_8 priedas" xfId="10113" xr:uid="{58B4478E-25F3-4FA7-B613-01CB34465C4F}"/>
    <cellStyle name="Įprastas 5 5 2 3 4 3" xfId="2689" xr:uid="{A0E6C4CA-A114-4E0B-A76E-D4CBB46DAC87}"/>
    <cellStyle name="Įprastas 5 5 2 3 4 3 2" xfId="5282" xr:uid="{A868A40D-DD79-4D9E-8CA6-1482DD1D62E6}"/>
    <cellStyle name="Įprastas 5 5 2 3 4 3_8 priedas" xfId="10114" xr:uid="{33C0FC1A-C05E-4C2B-8155-FD065303827D}"/>
    <cellStyle name="Įprastas 5 5 2 3 4 4" xfId="7010" xr:uid="{04202B9C-E590-4708-8AC8-7FB10E0C5F0D}"/>
    <cellStyle name="Įprastas 5 5 2 3 4 5" xfId="3554" xr:uid="{DCBEB5A0-6187-4489-BEE7-478EA9A600D9}"/>
    <cellStyle name="Įprastas 5 5 2 3 4_8 priedas" xfId="10112" xr:uid="{E413466F-7283-439C-8DFF-40F95F2CE8C2}"/>
    <cellStyle name="Įprastas 5 5 2 3 5" xfId="2076" xr:uid="{253EE8B7-3678-4CE2-AADA-1D4825B22ED9}"/>
    <cellStyle name="Įprastas 5 5 2 3 5 2" xfId="6022" xr:uid="{5CB8B17C-9509-4E31-A489-75C2C0A9ABDD}"/>
    <cellStyle name="Įprastas 5 5 2 3 5 3" xfId="7750" xr:uid="{A47DFD0A-D0F2-4B76-8CCF-3910D4D70B74}"/>
    <cellStyle name="Įprastas 5 5 2 3 5 4" xfId="4294" xr:uid="{51B5F2B2-9B5C-41CD-BAEB-10F537080C43}"/>
    <cellStyle name="Įprastas 5 5 2 3 5_8 priedas" xfId="10115" xr:uid="{B68F44DA-5D15-4B55-83D3-5E1943D01FD0}"/>
    <cellStyle name="Įprastas 5 5 2 3 6" xfId="2565" xr:uid="{059B5DD5-C50B-4A84-A73E-1AE58022BC06}"/>
    <cellStyle name="Įprastas 5 5 2 3 6 2" xfId="5158" xr:uid="{F51CF3DB-0239-4FEA-BB2C-C35FC8628F84}"/>
    <cellStyle name="Įprastas 5 5 2 3 6_8 priedas" xfId="10116" xr:uid="{CB30ED81-12AF-4E8B-8D33-0979C9C6328B}"/>
    <cellStyle name="Įprastas 5 5 2 3 7" xfId="6886" xr:uid="{25CEE4B6-B6F1-44AB-8B2C-EFED3A176CD8}"/>
    <cellStyle name="Įprastas 5 5 2 3 8" xfId="3430" xr:uid="{0838B86B-E449-4BDA-83EB-BD5E7D60D56A}"/>
    <cellStyle name="Įprastas 5 5 2 3_8 priedas" xfId="908" xr:uid="{00000000-0005-0000-0000-000070040000}"/>
    <cellStyle name="Įprastas 5 5 2 4" xfId="405" xr:uid="{00000000-0005-0000-0000-000071040000}"/>
    <cellStyle name="Įprastas 5 5 2 4 2" xfId="406" xr:uid="{00000000-0005-0000-0000-000072040000}"/>
    <cellStyle name="Įprastas 5 5 2 4 2 2" xfId="733" xr:uid="{00000000-0005-0000-0000-000073040000}"/>
    <cellStyle name="Įprastas 5 5 2 4 2 2 2" xfId="2077" xr:uid="{29B4FC18-7137-4EB3-A167-06366F8B634B}"/>
    <cellStyle name="Įprastas 5 5 2 4 2 2 2 2" xfId="6338" xr:uid="{3DB37AF0-2FC9-43C4-9E5F-A382D69257B5}"/>
    <cellStyle name="Įprastas 5 5 2 4 2 2 2 3" xfId="8066" xr:uid="{E63635B7-7B16-4E15-A11F-AD4406AEC2A1}"/>
    <cellStyle name="Įprastas 5 5 2 4 2 2 2 4" xfId="4610" xr:uid="{A57056C1-E6BA-4D82-AE30-ECE61BD85FA3}"/>
    <cellStyle name="Įprastas 5 5 2 4 2 2 2_8 priedas" xfId="10118" xr:uid="{32064BC9-DE21-491C-B5BF-9858D21F79ED}"/>
    <cellStyle name="Įprastas 5 5 2 4 2 2 3" xfId="2881" xr:uid="{B87671A0-0E7F-4827-9ADB-2CE988951C97}"/>
    <cellStyle name="Įprastas 5 5 2 4 2 2 3 2" xfId="5474" xr:uid="{3EA34EF2-95CA-42C5-9B28-BC1B68A8A570}"/>
    <cellStyle name="Įprastas 5 5 2 4 2 2 3_8 priedas" xfId="10119" xr:uid="{CC9E54D7-6849-4201-BBC1-1445D0C838BD}"/>
    <cellStyle name="Įprastas 5 5 2 4 2 2 4" xfId="7202" xr:uid="{05D5F882-58D6-4C34-8E8F-2B640A0F4FAA}"/>
    <cellStyle name="Įprastas 5 5 2 4 2 2 5" xfId="3746" xr:uid="{72785DB1-F196-426D-987A-97AB1029F09F}"/>
    <cellStyle name="Įprastas 5 5 2 4 2 2_8 priedas" xfId="10117" xr:uid="{76B9208E-A45A-4F7A-817A-AB25EB95C672}"/>
    <cellStyle name="Įprastas 5 5 2 4 2 3" xfId="2078" xr:uid="{BC445222-DD21-4FDA-B80F-273EC05D1487}"/>
    <cellStyle name="Įprastas 5 5 2 4 2 3 2" xfId="6026" xr:uid="{C9741BC1-CB8C-4FC8-B151-8DC457198BE3}"/>
    <cellStyle name="Įprastas 5 5 2 4 2 3 3" xfId="7754" xr:uid="{CDBCF95F-6782-4AEE-900D-B67967FC107E}"/>
    <cellStyle name="Įprastas 5 5 2 4 2 3 4" xfId="4298" xr:uid="{71417768-F9D9-4D58-9F40-D0C3381AD0F4}"/>
    <cellStyle name="Įprastas 5 5 2 4 2 3_8 priedas" xfId="10120" xr:uid="{EE4A8A9C-6E50-4428-AB4F-2D89A9AECBF6}"/>
    <cellStyle name="Įprastas 5 5 2 4 2 4" xfId="2569" xr:uid="{6B5BBC35-31D3-448E-9F4B-B643444C95F7}"/>
    <cellStyle name="Įprastas 5 5 2 4 2 4 2" xfId="5162" xr:uid="{DE369B85-F25E-4AD5-9FF5-2214B25FE21D}"/>
    <cellStyle name="Įprastas 5 5 2 4 2 4_8 priedas" xfId="10121" xr:uid="{7DB51EC6-C3C7-458D-8052-02DB4E7BC317}"/>
    <cellStyle name="Įprastas 5 5 2 4 2 5" xfId="6890" xr:uid="{007EB58E-3949-4BCF-B459-6E18435E0748}"/>
    <cellStyle name="Įprastas 5 5 2 4 2 6" xfId="3434" xr:uid="{65A956C3-8704-4A07-B6A2-6AB01F4BFF39}"/>
    <cellStyle name="Įprastas 5 5 2 4 2_8 priedas" xfId="1280" xr:uid="{00000000-0005-0000-0000-000074040000}"/>
    <cellStyle name="Įprastas 5 5 2 4 3" xfId="407" xr:uid="{00000000-0005-0000-0000-000075040000}"/>
    <cellStyle name="Įprastas 5 5 2 4 3 2" xfId="877" xr:uid="{00000000-0005-0000-0000-000076040000}"/>
    <cellStyle name="Įprastas 5 5 2 4 3 2 2" xfId="2079" xr:uid="{2089912A-4F62-4367-85A9-0B600D3FDE9D}"/>
    <cellStyle name="Įprastas 5 5 2 4 3 2 2 2" xfId="6482" xr:uid="{A2E92A26-B81C-4243-A070-B2C9FF406B19}"/>
    <cellStyle name="Įprastas 5 5 2 4 3 2 2 3" xfId="8210" xr:uid="{9275FAA9-E838-425C-B32B-0941207C1FD9}"/>
    <cellStyle name="Įprastas 5 5 2 4 3 2 2 4" xfId="4754" xr:uid="{23E09A96-73DF-4D3F-8BB0-673E0539A363}"/>
    <cellStyle name="Įprastas 5 5 2 4 3 2 2_8 priedas" xfId="10123" xr:uid="{6B3F0482-D2C0-4385-94D5-D86B793F2284}"/>
    <cellStyle name="Įprastas 5 5 2 4 3 2 3" xfId="3025" xr:uid="{59507745-883D-4C93-925F-DE55E93C8332}"/>
    <cellStyle name="Įprastas 5 5 2 4 3 2 3 2" xfId="5618" xr:uid="{83B169D5-5657-48B0-9B12-2D3FD71C3A4A}"/>
    <cellStyle name="Įprastas 5 5 2 4 3 2 3_8 priedas" xfId="10124" xr:uid="{C48A7DE5-3C1F-4E4A-9489-540E90BD6937}"/>
    <cellStyle name="Įprastas 5 5 2 4 3 2 4" xfId="7346" xr:uid="{92AF6843-C360-4B46-B7EE-FDB56CAA54CF}"/>
    <cellStyle name="Įprastas 5 5 2 4 3 2 5" xfId="3890" xr:uid="{8C9ECF26-041D-4D22-B506-A74904778B42}"/>
    <cellStyle name="Įprastas 5 5 2 4 3 2_8 priedas" xfId="10122" xr:uid="{1811EDE3-38E4-4917-A10B-08597CAE71AF}"/>
    <cellStyle name="Įprastas 5 5 2 4 3 3" xfId="2080" xr:uid="{A1C09088-72A1-46EC-884A-7BF9602354CD}"/>
    <cellStyle name="Įprastas 5 5 2 4 3 3 2" xfId="6027" xr:uid="{83D718D4-4807-4F0E-A3C0-5314E15983A5}"/>
    <cellStyle name="Įprastas 5 5 2 4 3 3 3" xfId="7755" xr:uid="{AB7BF331-A2F9-4FA4-80FE-BA5F76DD894F}"/>
    <cellStyle name="Įprastas 5 5 2 4 3 3 4" xfId="4299" xr:uid="{C5AFD1C7-52D9-40B2-A79F-CF65D9C0CFF3}"/>
    <cellStyle name="Įprastas 5 5 2 4 3 3_8 priedas" xfId="10125" xr:uid="{9B4FAF01-3671-4E0E-AD2F-58E62C644272}"/>
    <cellStyle name="Įprastas 5 5 2 4 3 4" xfId="2570" xr:uid="{F8332533-90E9-4BDB-A11E-36545D895821}"/>
    <cellStyle name="Įprastas 5 5 2 4 3 4 2" xfId="5163" xr:uid="{FC24501D-4F1C-4ADB-8548-BD24E7C35318}"/>
    <cellStyle name="Įprastas 5 5 2 4 3 4_8 priedas" xfId="10126" xr:uid="{772E166F-4A78-4899-B5BC-45AFA2C49C94}"/>
    <cellStyle name="Įprastas 5 5 2 4 3 5" xfId="6891" xr:uid="{3CDC267A-7AD4-4E21-80F3-910863D00E6F}"/>
    <cellStyle name="Įprastas 5 5 2 4 3 6" xfId="3435" xr:uid="{F8B5B61F-E25A-4C40-9174-E1ED387466F6}"/>
    <cellStyle name="Įprastas 5 5 2 4 3_8 priedas" xfId="1144" xr:uid="{00000000-0005-0000-0000-000077040000}"/>
    <cellStyle name="Įprastas 5 5 2 4 4" xfId="589" xr:uid="{00000000-0005-0000-0000-000078040000}"/>
    <cellStyle name="Įprastas 5 5 2 4 4 2" xfId="2081" xr:uid="{5FBD7B4B-73FB-4586-94E9-6F8774402ECA}"/>
    <cellStyle name="Įprastas 5 5 2 4 4 2 2" xfId="6194" xr:uid="{A13AE930-64E4-418A-9724-35A1FFB42847}"/>
    <cellStyle name="Įprastas 5 5 2 4 4 2 3" xfId="7922" xr:uid="{F9B3EEB6-1394-40DD-AFE1-9712842B52B7}"/>
    <cellStyle name="Įprastas 5 5 2 4 4 2 4" xfId="4466" xr:uid="{75E4BA3B-8E00-4932-88D8-6DFD34108533}"/>
    <cellStyle name="Įprastas 5 5 2 4 4 2_8 priedas" xfId="10128" xr:uid="{E25A9635-4F73-4CFE-9FEF-6395E02ED4F2}"/>
    <cellStyle name="Įprastas 5 5 2 4 4 3" xfId="2737" xr:uid="{26E301F5-1CC5-4FD6-8F8D-5E6D57E503A4}"/>
    <cellStyle name="Įprastas 5 5 2 4 4 3 2" xfId="5330" xr:uid="{5E86261A-CE9B-4082-88B4-4F27C60AC911}"/>
    <cellStyle name="Įprastas 5 5 2 4 4 3_8 priedas" xfId="10129" xr:uid="{6E5AD0F7-FEDE-483A-AED0-2D4BC2B60D59}"/>
    <cellStyle name="Įprastas 5 5 2 4 4 4" xfId="7058" xr:uid="{BD05BE3C-C192-42F4-9EB5-8BCD2925D746}"/>
    <cellStyle name="Įprastas 5 5 2 4 4 5" xfId="3602" xr:uid="{FE49C4D0-1297-44C0-980A-7F6EAC6FDC32}"/>
    <cellStyle name="Įprastas 5 5 2 4 4_8 priedas" xfId="10127" xr:uid="{39BE6344-5327-4BBE-BF29-60542D5309D1}"/>
    <cellStyle name="Įprastas 5 5 2 4 5" xfId="2082" xr:uid="{11C0B5AA-BF1D-42B6-89F5-5C5C1151E42E}"/>
    <cellStyle name="Įprastas 5 5 2 4 5 2" xfId="6025" xr:uid="{99D98F9D-9A22-40C8-B0D9-EFE5DC8C6DF3}"/>
    <cellStyle name="Įprastas 5 5 2 4 5 3" xfId="7753" xr:uid="{4FF093BD-601A-4A0C-A9A9-567019C1AA2F}"/>
    <cellStyle name="Įprastas 5 5 2 4 5 4" xfId="4297" xr:uid="{3C981812-B525-458C-B1AA-ED1853099F76}"/>
    <cellStyle name="Įprastas 5 5 2 4 5_8 priedas" xfId="10130" xr:uid="{F50A3463-4A8B-4F83-BE4F-8A28BA88D8AC}"/>
    <cellStyle name="Įprastas 5 5 2 4 6" xfId="2568" xr:uid="{F17DFC78-7416-43F0-8AAD-674456C144B4}"/>
    <cellStyle name="Įprastas 5 5 2 4 6 2" xfId="5161" xr:uid="{F394E74E-4F23-4C1B-B6CF-D06465BDA8B0}"/>
    <cellStyle name="Įprastas 5 5 2 4 6_8 priedas" xfId="10131" xr:uid="{7859812A-1512-4A01-B8A0-FEDECA0986F1}"/>
    <cellStyle name="Įprastas 5 5 2 4 7" xfId="6889" xr:uid="{9AC64D86-098B-4135-B80C-F80B04CE63DD}"/>
    <cellStyle name="Įprastas 5 5 2 4 8" xfId="3433" xr:uid="{398FAD26-4E9E-4463-896D-D9C2A2BF7919}"/>
    <cellStyle name="Įprastas 5 5 2 4_8 priedas" xfId="1055" xr:uid="{00000000-0005-0000-0000-000079040000}"/>
    <cellStyle name="Įprastas 5 5 2 5" xfId="408" xr:uid="{00000000-0005-0000-0000-00007A040000}"/>
    <cellStyle name="Įprastas 5 5 2 5 2" xfId="637" xr:uid="{00000000-0005-0000-0000-00007B040000}"/>
    <cellStyle name="Įprastas 5 5 2 5 2 2" xfId="2083" xr:uid="{7722312F-E599-4950-BAD2-9DDECC0994D1}"/>
    <cellStyle name="Įprastas 5 5 2 5 2 2 2" xfId="6242" xr:uid="{8E36C3C6-AB28-4BBA-8C72-8FF2E938BB51}"/>
    <cellStyle name="Įprastas 5 5 2 5 2 2 3" xfId="7970" xr:uid="{179359FE-3157-43D5-9078-748CAE02175D}"/>
    <cellStyle name="Įprastas 5 5 2 5 2 2 4" xfId="4514" xr:uid="{1E506455-DB00-4F27-BF68-DC2327B6E84A}"/>
    <cellStyle name="Įprastas 5 5 2 5 2 2_8 priedas" xfId="10133" xr:uid="{A97957B9-08E1-4C3B-A8D6-4C3F39FD85CF}"/>
    <cellStyle name="Įprastas 5 5 2 5 2 3" xfId="2785" xr:uid="{A87C1657-9FE9-4EDC-868C-23544C36EB11}"/>
    <cellStyle name="Įprastas 5 5 2 5 2 3 2" xfId="5378" xr:uid="{F1D1543B-C4C3-40DC-BB44-2EAACCF186AA}"/>
    <cellStyle name="Įprastas 5 5 2 5 2 3_8 priedas" xfId="10134" xr:uid="{3EF6E9C9-263B-4A77-9258-73B7DEE8751C}"/>
    <cellStyle name="Įprastas 5 5 2 5 2 4" xfId="7106" xr:uid="{B2A1F98F-DC83-4B1A-955B-C0F1DEB55684}"/>
    <cellStyle name="Įprastas 5 5 2 5 2 5" xfId="3650" xr:uid="{0ADDBC83-C1BD-4C06-A985-E9DED0AB7E1B}"/>
    <cellStyle name="Įprastas 5 5 2 5 2_8 priedas" xfId="10132" xr:uid="{C3CD4CDF-0177-468C-BBA1-047EAF2BF789}"/>
    <cellStyle name="Įprastas 5 5 2 5 3" xfId="2084" xr:uid="{B8BFE60A-2D30-4D99-A7ED-6867AB585303}"/>
    <cellStyle name="Įprastas 5 5 2 5 3 2" xfId="6028" xr:uid="{16795A76-7F1A-4743-91AB-10B5838C7C00}"/>
    <cellStyle name="Įprastas 5 5 2 5 3 3" xfId="7756" xr:uid="{09B2E0D6-0903-45DA-8E91-C7C3CFEC5E55}"/>
    <cellStyle name="Įprastas 5 5 2 5 3 4" xfId="4300" xr:uid="{3C8D21FB-9F0A-44C0-8475-E47079587C9F}"/>
    <cellStyle name="Įprastas 5 5 2 5 3_8 priedas" xfId="10135" xr:uid="{8F7DC97B-7C20-47B1-94BC-A281F2BA8247}"/>
    <cellStyle name="Įprastas 5 5 2 5 4" xfId="2571" xr:uid="{781FC9D8-2E87-45ED-923A-FB6AD5D29D09}"/>
    <cellStyle name="Įprastas 5 5 2 5 4 2" xfId="5164" xr:uid="{383C6DF4-59B8-4052-80F4-2ECE99C5B3AF}"/>
    <cellStyle name="Įprastas 5 5 2 5 4_8 priedas" xfId="10136" xr:uid="{5EF86D62-9C07-4C0A-A81E-DECBA105F368}"/>
    <cellStyle name="Įprastas 5 5 2 5 5" xfId="6892" xr:uid="{71E5AC64-667C-466D-81AB-615053FDB5EB}"/>
    <cellStyle name="Įprastas 5 5 2 5 6" xfId="3436" xr:uid="{6E19E0B9-3253-4382-B424-F3F49FE70C63}"/>
    <cellStyle name="Įprastas 5 5 2 5_8 priedas" xfId="1008" xr:uid="{00000000-0005-0000-0000-00007C040000}"/>
    <cellStyle name="Įprastas 5 5 2 6" xfId="409" xr:uid="{00000000-0005-0000-0000-00007D040000}"/>
    <cellStyle name="Įprastas 5 5 2 6 2" xfId="781" xr:uid="{00000000-0005-0000-0000-00007E040000}"/>
    <cellStyle name="Įprastas 5 5 2 6 2 2" xfId="2085" xr:uid="{C5230C80-1F69-4477-8A35-94787063322A}"/>
    <cellStyle name="Įprastas 5 5 2 6 2 2 2" xfId="6386" xr:uid="{8A413077-0C64-42C1-86D1-152F6D2044EA}"/>
    <cellStyle name="Įprastas 5 5 2 6 2 2 3" xfId="8114" xr:uid="{4BC96E78-86CA-4353-8659-161F274D20EF}"/>
    <cellStyle name="Įprastas 5 5 2 6 2 2 4" xfId="4658" xr:uid="{D5AC83AC-0BFB-494C-B414-3E785A98A16E}"/>
    <cellStyle name="Įprastas 5 5 2 6 2 2_8 priedas" xfId="10138" xr:uid="{2B760EBA-6E14-49DA-9C95-4C1E3329CF00}"/>
    <cellStyle name="Įprastas 5 5 2 6 2 3" xfId="2929" xr:uid="{8D573001-8AD3-4BE5-AEB6-85D760315FFE}"/>
    <cellStyle name="Įprastas 5 5 2 6 2 3 2" xfId="5522" xr:uid="{974142EB-57B7-47FA-B178-9A0287923E16}"/>
    <cellStyle name="Įprastas 5 5 2 6 2 3_8 priedas" xfId="10139" xr:uid="{79EADF4B-68E0-43FD-B469-C146079E5453}"/>
    <cellStyle name="Įprastas 5 5 2 6 2 4" xfId="7250" xr:uid="{831DA819-D459-46D3-94E7-2F79587C6F04}"/>
    <cellStyle name="Įprastas 5 5 2 6 2 5" xfId="3794" xr:uid="{DBE73F50-A521-489D-B086-13A80AFCB167}"/>
    <cellStyle name="Įprastas 5 5 2 6 2_8 priedas" xfId="10137" xr:uid="{468F127A-40B2-44FD-A437-619A182D0A48}"/>
    <cellStyle name="Įprastas 5 5 2 6 3" xfId="2086" xr:uid="{2F6C50ED-B776-4C16-A43C-29E51F47F956}"/>
    <cellStyle name="Įprastas 5 5 2 6 3 2" xfId="6029" xr:uid="{2AEFC064-5D81-4EBC-888B-D0EF9C6A007B}"/>
    <cellStyle name="Įprastas 5 5 2 6 3 3" xfId="7757" xr:uid="{09274BA4-B1AD-45A0-8A72-E5EE1367AE6E}"/>
    <cellStyle name="Įprastas 5 5 2 6 3 4" xfId="4301" xr:uid="{4750C6FA-25B8-4A53-9780-37D7AE5DFABA}"/>
    <cellStyle name="Įprastas 5 5 2 6 3_8 priedas" xfId="10140" xr:uid="{C71BE882-9F4C-4ADB-8E0F-297D1C67746F}"/>
    <cellStyle name="Įprastas 5 5 2 6 4" xfId="2572" xr:uid="{98576C4B-484D-4DE6-91C7-246BC9466F6B}"/>
    <cellStyle name="Įprastas 5 5 2 6 4 2" xfId="5165" xr:uid="{846DFE76-74CA-42DB-A104-3E207EAF7382}"/>
    <cellStyle name="Įprastas 5 5 2 6 4_8 priedas" xfId="10141" xr:uid="{21D974AE-F929-4426-8101-758BFC537CAC}"/>
    <cellStyle name="Įprastas 5 5 2 6 5" xfId="6893" xr:uid="{17C6A4EB-E894-4770-9619-DF033738712F}"/>
    <cellStyle name="Įprastas 5 5 2 6 6" xfId="3437" xr:uid="{9C47E8ED-BCB5-479C-872F-9195E6400A2D}"/>
    <cellStyle name="Įprastas 5 5 2 6_8 priedas" xfId="1234" xr:uid="{00000000-0005-0000-0000-00007F040000}"/>
    <cellStyle name="Įprastas 5 5 2 7" xfId="493" xr:uid="{00000000-0005-0000-0000-000080040000}"/>
    <cellStyle name="Įprastas 5 5 2 7 2" xfId="2087" xr:uid="{1D21D67E-94B5-4456-9B92-0747D3673BBE}"/>
    <cellStyle name="Įprastas 5 5 2 7 2 2" xfId="6098" xr:uid="{8F4F218D-AC49-4376-BE25-0DD7239F73A3}"/>
    <cellStyle name="Įprastas 5 5 2 7 2 3" xfId="7826" xr:uid="{0878D71B-E03C-4941-96AB-21EC34C176FB}"/>
    <cellStyle name="Įprastas 5 5 2 7 2 4" xfId="4370" xr:uid="{67A97876-59B6-437F-9D3F-752B30B674AB}"/>
    <cellStyle name="Įprastas 5 5 2 7 2_8 priedas" xfId="10143" xr:uid="{E76F9E0A-E88F-43A7-A18E-C9A1805EF1B9}"/>
    <cellStyle name="Įprastas 5 5 2 7 3" xfId="2641" xr:uid="{21FFB1D6-D38B-4E9E-B056-2F55D958C706}"/>
    <cellStyle name="Įprastas 5 5 2 7 3 2" xfId="5234" xr:uid="{54FA2279-596A-40C9-A9AE-9BA81772BCCA}"/>
    <cellStyle name="Įprastas 5 5 2 7 3_8 priedas" xfId="10144" xr:uid="{CE621A40-9C3C-46DC-9339-E9FD341F23FF}"/>
    <cellStyle name="Įprastas 5 5 2 7 4" xfId="6962" xr:uid="{AFCF22FF-353B-4C25-9C55-07DD7A50B424}"/>
    <cellStyle name="Įprastas 5 5 2 7 5" xfId="3506" xr:uid="{00A022C1-4D9E-441A-9A76-ADC22CCD7A7E}"/>
    <cellStyle name="Įprastas 5 5 2 7_8 priedas" xfId="10142" xr:uid="{74A76082-C534-41D5-BD0A-78B91E906507}"/>
    <cellStyle name="Įprastas 5 5 2 8" xfId="2088" xr:uid="{894D9133-52B5-4B0E-9250-009D7DDAA6BC}"/>
    <cellStyle name="Įprastas 5 5 2 8 2" xfId="6012" xr:uid="{21C43EA6-69FD-44FC-B953-632C9B2E2F44}"/>
    <cellStyle name="Įprastas 5 5 2 8 3" xfId="7740" xr:uid="{740507D2-2CCD-40BA-B737-DE0E881CDF73}"/>
    <cellStyle name="Įprastas 5 5 2 8 4" xfId="4284" xr:uid="{5D745A5B-4FB2-4F1D-845D-7E04999598FB}"/>
    <cellStyle name="Įprastas 5 5 2 8_8 priedas" xfId="10145" xr:uid="{138FD530-6054-4F9E-84EE-AF2BAD1FE715}"/>
    <cellStyle name="Įprastas 5 5 2 9" xfId="2555" xr:uid="{5E0E93E2-A233-44C6-97C7-3D7E64B6F0D8}"/>
    <cellStyle name="Įprastas 5 5 2 9 2" xfId="5148" xr:uid="{14DD1B7D-A01D-4030-A6A3-EC0F97FB12C6}"/>
    <cellStyle name="Įprastas 5 5 2 9_8 priedas" xfId="10146" xr:uid="{348BEF53-E9F4-495D-804A-7319FE83B36B}"/>
    <cellStyle name="Įprastas 5 5 2_8 priedas" xfId="1101" xr:uid="{00000000-0005-0000-0000-000081040000}"/>
    <cellStyle name="Įprastas 5 5 3" xfId="410" xr:uid="{00000000-0005-0000-0000-000082040000}"/>
    <cellStyle name="Įprastas 5 5 3 10" xfId="3438" xr:uid="{AB6240A1-0B5C-42E9-862E-43DC10AE2992}"/>
    <cellStyle name="Įprastas 5 5 3 2" xfId="411" xr:uid="{00000000-0005-0000-0000-000083040000}"/>
    <cellStyle name="Įprastas 5 5 3 2 2" xfId="412" xr:uid="{00000000-0005-0000-0000-000084040000}"/>
    <cellStyle name="Įprastas 5 5 3 2 2 2" xfId="697" xr:uid="{00000000-0005-0000-0000-000085040000}"/>
    <cellStyle name="Įprastas 5 5 3 2 2 2 2" xfId="2089" xr:uid="{052DB9DE-5751-4125-95E2-FE789DBAA5FC}"/>
    <cellStyle name="Įprastas 5 5 3 2 2 2 2 2" xfId="6302" xr:uid="{986DE708-AFEC-4293-9C61-7103740D78CE}"/>
    <cellStyle name="Įprastas 5 5 3 2 2 2 2 3" xfId="8030" xr:uid="{AC54FBAA-721D-401F-9DB8-EC66416D1EE6}"/>
    <cellStyle name="Įprastas 5 5 3 2 2 2 2 4" xfId="4574" xr:uid="{FD6E437D-2A94-4717-B675-897BD9CC000F}"/>
    <cellStyle name="Įprastas 5 5 3 2 2 2 2_8 priedas" xfId="10148" xr:uid="{9E8AEBD6-EC1E-4003-B821-E6DAD38F242F}"/>
    <cellStyle name="Įprastas 5 5 3 2 2 2 3" xfId="2845" xr:uid="{5CB7CBAC-3314-4391-BC3D-62C12C47300F}"/>
    <cellStyle name="Įprastas 5 5 3 2 2 2 3 2" xfId="5438" xr:uid="{3CEE0C2D-060C-4C14-BA1F-95433470BBDF}"/>
    <cellStyle name="Įprastas 5 5 3 2 2 2 3_8 priedas" xfId="10149" xr:uid="{BB0FFF86-6187-4BA1-AC85-F06FB5F6F334}"/>
    <cellStyle name="Įprastas 5 5 3 2 2 2 4" xfId="7166" xr:uid="{15506AB5-1CD5-40A8-9067-4B48EE770F75}"/>
    <cellStyle name="Įprastas 5 5 3 2 2 2 5" xfId="3710" xr:uid="{803EFFCE-E465-4395-AD61-62138727DEEE}"/>
    <cellStyle name="Įprastas 5 5 3 2 2 2_8 priedas" xfId="10147" xr:uid="{938CEB25-8209-4CE4-BC23-B682FEA569E3}"/>
    <cellStyle name="Įprastas 5 5 3 2 2 3" xfId="2090" xr:uid="{A1E8A898-BCD2-4F3E-AF9E-C4702EA9D9CB}"/>
    <cellStyle name="Įprastas 5 5 3 2 2 3 2" xfId="6032" xr:uid="{8A0A1F95-9D4E-45F5-BED5-812599A69389}"/>
    <cellStyle name="Įprastas 5 5 3 2 2 3 3" xfId="7760" xr:uid="{864D9219-89D7-4923-BED9-1C237C458F84}"/>
    <cellStyle name="Įprastas 5 5 3 2 2 3 4" xfId="4304" xr:uid="{6207BEFE-AD68-4A14-B1D7-719C34B1B301}"/>
    <cellStyle name="Įprastas 5 5 3 2 2 3_8 priedas" xfId="10150" xr:uid="{8E0FC6FB-3031-49AD-933F-896D460E19FB}"/>
    <cellStyle name="Įprastas 5 5 3 2 2 4" xfId="2575" xr:uid="{D56BD5B9-F950-4E52-A36D-EB8E77399DB7}"/>
    <cellStyle name="Įprastas 5 5 3 2 2 4 2" xfId="5168" xr:uid="{0CF9D0BF-5BE7-43B9-B388-9D9F7C0B17EC}"/>
    <cellStyle name="Įprastas 5 5 3 2 2 4_8 priedas" xfId="10151" xr:uid="{0537C538-99F5-4BE2-B888-4908895AE9EC}"/>
    <cellStyle name="Įprastas 5 5 3 2 2 5" xfId="6896" xr:uid="{9F98DD34-988E-4D1E-8F32-308ABBBBE7D6}"/>
    <cellStyle name="Įprastas 5 5 3 2 2 6" xfId="3440" xr:uid="{C2B6C139-5DA1-4D23-8383-4621090CDE52}"/>
    <cellStyle name="Įprastas 5 5 3 2 2_8 priedas" xfId="1215" xr:uid="{00000000-0005-0000-0000-000086040000}"/>
    <cellStyle name="Įprastas 5 5 3 2 3" xfId="413" xr:uid="{00000000-0005-0000-0000-000087040000}"/>
    <cellStyle name="Įprastas 5 5 3 2 3 2" xfId="841" xr:uid="{00000000-0005-0000-0000-000088040000}"/>
    <cellStyle name="Įprastas 5 5 3 2 3 2 2" xfId="2091" xr:uid="{34CDF459-4326-4FA8-9C17-E7C4C72FBB21}"/>
    <cellStyle name="Įprastas 5 5 3 2 3 2 2 2" xfId="6446" xr:uid="{91126638-3E3B-4309-B7A5-89F7D2C9D550}"/>
    <cellStyle name="Įprastas 5 5 3 2 3 2 2 3" xfId="8174" xr:uid="{C2459D9B-144A-4C2C-974B-68A30431CE30}"/>
    <cellStyle name="Įprastas 5 5 3 2 3 2 2 4" xfId="4718" xr:uid="{5C4ED41C-CFB1-4A83-B22B-4A2D315FEA3C}"/>
    <cellStyle name="Įprastas 5 5 3 2 3 2 2_8 priedas" xfId="10153" xr:uid="{AAF4E4B6-A1F8-4FAF-832E-30F0DEAF05DD}"/>
    <cellStyle name="Įprastas 5 5 3 2 3 2 3" xfId="2989" xr:uid="{4B13ACBA-46EC-4CFF-89B6-306C0575F55E}"/>
    <cellStyle name="Įprastas 5 5 3 2 3 2 3 2" xfId="5582" xr:uid="{85603E28-2CD0-4376-A8D1-3B49971ED1D4}"/>
    <cellStyle name="Įprastas 5 5 3 2 3 2 3_8 priedas" xfId="10154" xr:uid="{8A3DBB62-88B0-47F1-BD0E-B547C12C97A5}"/>
    <cellStyle name="Įprastas 5 5 3 2 3 2 4" xfId="7310" xr:uid="{8CBBB2FB-DCB4-4550-9BBD-56B57C755BFB}"/>
    <cellStyle name="Įprastas 5 5 3 2 3 2 5" xfId="3854" xr:uid="{DB5F664A-BDA7-4CB0-8DD8-2FD34417EB07}"/>
    <cellStyle name="Įprastas 5 5 3 2 3 2_8 priedas" xfId="10152" xr:uid="{0ED7EE58-CCB1-4A25-9B4A-809E9AAE5EC0}"/>
    <cellStyle name="Įprastas 5 5 3 2 3 3" xfId="2092" xr:uid="{FC726A21-F148-425D-B07F-3D6D27856EF7}"/>
    <cellStyle name="Įprastas 5 5 3 2 3 3 2" xfId="6033" xr:uid="{013E5EAC-1EFA-4D18-94FC-172CABFDBDDF}"/>
    <cellStyle name="Įprastas 5 5 3 2 3 3 3" xfId="7761" xr:uid="{2828706B-E759-4185-B4E6-7DEBAA36BADF}"/>
    <cellStyle name="Įprastas 5 5 3 2 3 3 4" xfId="4305" xr:uid="{44E9A46D-F49A-4935-9850-A67879BAEF87}"/>
    <cellStyle name="Įprastas 5 5 3 2 3 3_8 priedas" xfId="10155" xr:uid="{330E8B15-9544-43E0-A118-A0453D8F8CC8}"/>
    <cellStyle name="Įprastas 5 5 3 2 3 4" xfId="2576" xr:uid="{B4F4FE17-FC10-4DE0-9FB6-26E49D2E4E50}"/>
    <cellStyle name="Įprastas 5 5 3 2 3 4 2" xfId="5169" xr:uid="{52A70B8D-87E8-4C30-A024-62F34D61FDB8}"/>
    <cellStyle name="Įprastas 5 5 3 2 3 4_8 priedas" xfId="10156" xr:uid="{5657AF4C-878C-4575-BBE5-0DA6EBE7A4C4}"/>
    <cellStyle name="Įprastas 5 5 3 2 3 5" xfId="6897" xr:uid="{2106A991-D73D-4A53-AD53-BCA90E3B1EE6}"/>
    <cellStyle name="Įprastas 5 5 3 2 3 6" xfId="3441" xr:uid="{5A918F2F-E5BF-4E9F-B89D-1C2AFC5510B0}"/>
    <cellStyle name="Įprastas 5 5 3 2 3_8 priedas" xfId="1081" xr:uid="{00000000-0005-0000-0000-000089040000}"/>
    <cellStyle name="Įprastas 5 5 3 2 4" xfId="553" xr:uid="{00000000-0005-0000-0000-00008A040000}"/>
    <cellStyle name="Įprastas 5 5 3 2 4 2" xfId="2093" xr:uid="{063CB08D-37A1-4B4B-8EDB-3AE65A91D5C3}"/>
    <cellStyle name="Įprastas 5 5 3 2 4 2 2" xfId="6158" xr:uid="{96A943CF-D91E-4516-9B6F-61362DA3C2B9}"/>
    <cellStyle name="Įprastas 5 5 3 2 4 2 3" xfId="7886" xr:uid="{4BCE961D-4804-4A58-91C4-83DC8ACEEC97}"/>
    <cellStyle name="Įprastas 5 5 3 2 4 2 4" xfId="4430" xr:uid="{EF0ECDF9-7B9C-4EFD-9D8B-9D75E80BA21F}"/>
    <cellStyle name="Įprastas 5 5 3 2 4 2_8 priedas" xfId="10158" xr:uid="{51ED6857-72C5-4A97-BBD5-7CA4E9B21F15}"/>
    <cellStyle name="Įprastas 5 5 3 2 4 3" xfId="2701" xr:uid="{5CCBB03C-7816-4A46-8668-356556FDCD90}"/>
    <cellStyle name="Įprastas 5 5 3 2 4 3 2" xfId="5294" xr:uid="{B84804B6-4982-41FA-8034-6D12C8FACDAF}"/>
    <cellStyle name="Įprastas 5 5 3 2 4 3_8 priedas" xfId="10159" xr:uid="{81B695F5-E513-4B91-A658-129E569BDB7B}"/>
    <cellStyle name="Įprastas 5 5 3 2 4 4" xfId="7022" xr:uid="{D86A7991-4483-4823-BA21-30CD7DE3859F}"/>
    <cellStyle name="Įprastas 5 5 3 2 4 5" xfId="3566" xr:uid="{08EE1D52-BA7B-4AA8-B693-D289D03E29E0}"/>
    <cellStyle name="Įprastas 5 5 3 2 4_8 priedas" xfId="10157" xr:uid="{295B287B-E075-4A22-8488-817C30A4ABA5}"/>
    <cellStyle name="Įprastas 5 5 3 2 5" xfId="2094" xr:uid="{F02D0398-0509-4F3B-9993-D7C21CBF39B6}"/>
    <cellStyle name="Įprastas 5 5 3 2 5 2" xfId="6031" xr:uid="{957F0976-947E-448B-8F03-47F73EE52785}"/>
    <cellStyle name="Įprastas 5 5 3 2 5 3" xfId="7759" xr:uid="{00361A9C-7ADE-4866-B056-5310C4C344A9}"/>
    <cellStyle name="Įprastas 5 5 3 2 5 4" xfId="4303" xr:uid="{82A7985A-6782-40E6-935B-35C86E98C4C9}"/>
    <cellStyle name="Įprastas 5 5 3 2 5_8 priedas" xfId="10160" xr:uid="{35FD39A7-7DC4-4CA9-9FC2-A4A873C27C5E}"/>
    <cellStyle name="Įprastas 5 5 3 2 6" xfId="2574" xr:uid="{30A6C649-E4D7-408E-B237-B3C64CA5441E}"/>
    <cellStyle name="Įprastas 5 5 3 2 6 2" xfId="5167" xr:uid="{5C9C674B-5E08-4158-AD67-E06CFB0CB961}"/>
    <cellStyle name="Įprastas 5 5 3 2 6_8 priedas" xfId="10161" xr:uid="{49D32928-0E42-4924-AFBE-F17107AE3EBB}"/>
    <cellStyle name="Įprastas 5 5 3 2 7" xfId="6895" xr:uid="{C3217073-DE7A-4032-AFD1-15917295055B}"/>
    <cellStyle name="Įprastas 5 5 3 2 8" xfId="3439" xr:uid="{DB3FEF6C-DF4B-44A1-BCD4-842EF073E7EB}"/>
    <cellStyle name="Įprastas 5 5 3 2_8 priedas" xfId="967" xr:uid="{00000000-0005-0000-0000-00008B040000}"/>
    <cellStyle name="Įprastas 5 5 3 3" xfId="414" xr:uid="{00000000-0005-0000-0000-00008C040000}"/>
    <cellStyle name="Įprastas 5 5 3 3 2" xfId="415" xr:uid="{00000000-0005-0000-0000-00008D040000}"/>
    <cellStyle name="Įprastas 5 5 3 3 2 2" xfId="745" xr:uid="{00000000-0005-0000-0000-00008E040000}"/>
    <cellStyle name="Įprastas 5 5 3 3 2 2 2" xfId="2095" xr:uid="{23AD595D-1829-437C-9A78-A9F83AF3CFB2}"/>
    <cellStyle name="Įprastas 5 5 3 3 2 2 2 2" xfId="6350" xr:uid="{7A4FDB1C-8B22-47A5-9B4D-AA4D3C312E14}"/>
    <cellStyle name="Įprastas 5 5 3 3 2 2 2 3" xfId="8078" xr:uid="{6B7032C8-BEF2-43C8-87FB-FEAD7D8FBF2E}"/>
    <cellStyle name="Įprastas 5 5 3 3 2 2 2 4" xfId="4622" xr:uid="{1D29E580-4AAE-471A-9993-A2997FB4F5B4}"/>
    <cellStyle name="Įprastas 5 5 3 3 2 2 2_8 priedas" xfId="10163" xr:uid="{3CF8A08C-F8A3-43EE-91E2-DCFDC78867B0}"/>
    <cellStyle name="Įprastas 5 5 3 3 2 2 3" xfId="2893" xr:uid="{40A53A0D-5ED1-4ECB-A58D-B07E09C881DC}"/>
    <cellStyle name="Įprastas 5 5 3 3 2 2 3 2" xfId="5486" xr:uid="{26F0C853-59F1-4F6C-9B5E-4576E084A370}"/>
    <cellStyle name="Įprastas 5 5 3 3 2 2 3_8 priedas" xfId="10164" xr:uid="{3D922816-3F04-42E9-BDF7-3CAAF5653A55}"/>
    <cellStyle name="Įprastas 5 5 3 3 2 2 4" xfId="7214" xr:uid="{E0AF7728-E74E-4F9D-9560-BB367369B052}"/>
    <cellStyle name="Įprastas 5 5 3 3 2 2 5" xfId="3758" xr:uid="{BC577E43-91B2-42B2-BACE-BBB009833140}"/>
    <cellStyle name="Įprastas 5 5 3 3 2 2_8 priedas" xfId="10162" xr:uid="{74A862E3-0046-44FA-AB15-E1CEDDC88D1C}"/>
    <cellStyle name="Įprastas 5 5 3 3 2 3" xfId="2096" xr:uid="{99FAF5AA-A5AA-442F-B783-7C4FB136512F}"/>
    <cellStyle name="Įprastas 5 5 3 3 2 3 2" xfId="6035" xr:uid="{B3B6FDBF-B5A1-44D0-9005-1D8BB9501263}"/>
    <cellStyle name="Įprastas 5 5 3 3 2 3 3" xfId="7763" xr:uid="{70F922CB-5372-42FB-BE7E-EF27AE72BCEA}"/>
    <cellStyle name="Įprastas 5 5 3 3 2 3 4" xfId="4307" xr:uid="{6A8F3DCD-D6A2-4D1D-9BCC-0CC9CB01C32C}"/>
    <cellStyle name="Įprastas 5 5 3 3 2 3_8 priedas" xfId="10165" xr:uid="{1E043CBA-C446-4EAA-849B-057054B18E1C}"/>
    <cellStyle name="Įprastas 5 5 3 3 2 4" xfId="2578" xr:uid="{B4689388-2973-434A-B9B6-D6170A86C818}"/>
    <cellStyle name="Įprastas 5 5 3 3 2 4 2" xfId="5171" xr:uid="{223768B2-04F2-43D3-B7BB-273F0E216968}"/>
    <cellStyle name="Įprastas 5 5 3 3 2 4_8 priedas" xfId="10166" xr:uid="{58871369-9BCC-417A-AD58-A2E718E1F456}"/>
    <cellStyle name="Įprastas 5 5 3 3 2 5" xfId="6899" xr:uid="{88A4A0EE-99F8-4F61-B321-39AB7C3F4526}"/>
    <cellStyle name="Įprastas 5 5 3 3 2 6" xfId="3443" xr:uid="{C8FC12D9-87B7-4B6E-8BD8-F02AD9907644}"/>
    <cellStyle name="Įprastas 5 5 3 3 2_8 priedas" xfId="1169" xr:uid="{00000000-0005-0000-0000-00008F040000}"/>
    <cellStyle name="Įprastas 5 5 3 3 3" xfId="416" xr:uid="{00000000-0005-0000-0000-000090040000}"/>
    <cellStyle name="Įprastas 5 5 3 3 3 2" xfId="889" xr:uid="{00000000-0005-0000-0000-000091040000}"/>
    <cellStyle name="Įprastas 5 5 3 3 3 2 2" xfId="2097" xr:uid="{22BDA5BD-96B3-4D51-9C28-8EF5AD32CA7E}"/>
    <cellStyle name="Įprastas 5 5 3 3 3 2 2 2" xfId="6494" xr:uid="{4CE6EFB1-FE56-4941-B647-395A49F9A790}"/>
    <cellStyle name="Įprastas 5 5 3 3 3 2 2 3" xfId="8222" xr:uid="{F4E76C49-74D3-4F50-BFC5-A4FB5948A2FB}"/>
    <cellStyle name="Įprastas 5 5 3 3 3 2 2 4" xfId="4766" xr:uid="{B0AEA6A7-AC8F-4ECB-A45E-C91131321DE5}"/>
    <cellStyle name="Įprastas 5 5 3 3 3 2 2_8 priedas" xfId="10168" xr:uid="{71F03674-A361-41AB-9A56-B13FD0A77301}"/>
    <cellStyle name="Įprastas 5 5 3 3 3 2 3" xfId="3037" xr:uid="{475C3218-6673-4944-A39F-DF3F8042F7E4}"/>
    <cellStyle name="Įprastas 5 5 3 3 3 2 3 2" xfId="5630" xr:uid="{87C06DF7-60EE-452F-9452-A4BD3553CB21}"/>
    <cellStyle name="Įprastas 5 5 3 3 3 2 3_8 priedas" xfId="10169" xr:uid="{0C1F9564-1694-400E-8338-BD8B6EC2D23C}"/>
    <cellStyle name="Įprastas 5 5 3 3 3 2 4" xfId="7358" xr:uid="{65A4E86F-3256-4F18-B793-A5ED49C578F7}"/>
    <cellStyle name="Įprastas 5 5 3 3 3 2 5" xfId="3902" xr:uid="{7BA33770-8BE9-43FD-9127-45F6CD92657A}"/>
    <cellStyle name="Įprastas 5 5 3 3 3 2_8 priedas" xfId="10167" xr:uid="{955B583F-1A19-4E6E-B1EE-DEC425F69262}"/>
    <cellStyle name="Įprastas 5 5 3 3 3 3" xfId="2098" xr:uid="{EDF3A589-56AA-4AD2-8FB5-42B765ACC88D}"/>
    <cellStyle name="Įprastas 5 5 3 3 3 3 2" xfId="6036" xr:uid="{AE1047F3-C8F2-478D-B346-6E479326B6F0}"/>
    <cellStyle name="Įprastas 5 5 3 3 3 3 3" xfId="7764" xr:uid="{E36D5377-2A4E-42F5-89A2-07B8F73213B5}"/>
    <cellStyle name="Įprastas 5 5 3 3 3 3 4" xfId="4308" xr:uid="{49E4C1CC-653C-40DF-B750-EB434A0D741A}"/>
    <cellStyle name="Įprastas 5 5 3 3 3 3_8 priedas" xfId="10170" xr:uid="{265C1320-0F87-4522-95B6-0F638B987C15}"/>
    <cellStyle name="Įprastas 5 5 3 3 3 4" xfId="2579" xr:uid="{29726B86-336D-4386-9DB2-04B21F71F5A7}"/>
    <cellStyle name="Įprastas 5 5 3 3 3 4 2" xfId="5172" xr:uid="{AFADCCAE-3187-42EF-8F39-6190C31DF4C6}"/>
    <cellStyle name="Įprastas 5 5 3 3 3 4_8 priedas" xfId="10171" xr:uid="{05508AE5-C822-49A8-B584-81CF096AE30E}"/>
    <cellStyle name="Įprastas 5 5 3 3 3 5" xfId="6900" xr:uid="{365C1ADD-F132-45E3-85B9-70C9D1EA84C5}"/>
    <cellStyle name="Įprastas 5 5 3 3 3 6" xfId="3444" xr:uid="{C4C30778-2FEC-47F8-9D3C-FA2FE81DD001}"/>
    <cellStyle name="Įprastas 5 5 3 3 3_8 priedas" xfId="1033" xr:uid="{00000000-0005-0000-0000-000092040000}"/>
    <cellStyle name="Įprastas 5 5 3 3 4" xfId="601" xr:uid="{00000000-0005-0000-0000-000093040000}"/>
    <cellStyle name="Įprastas 5 5 3 3 4 2" xfId="2099" xr:uid="{6385D097-40CF-480D-8A7C-1FE20C65EB5C}"/>
    <cellStyle name="Įprastas 5 5 3 3 4 2 2" xfId="6206" xr:uid="{F49D888D-DAF1-4D82-835D-C69D6F730188}"/>
    <cellStyle name="Įprastas 5 5 3 3 4 2 3" xfId="7934" xr:uid="{885C8BC7-0217-4CD6-982B-558A7D92EE63}"/>
    <cellStyle name="Įprastas 5 5 3 3 4 2 4" xfId="4478" xr:uid="{3A8F50F8-0406-4293-84CD-7432FC1DA6A8}"/>
    <cellStyle name="Įprastas 5 5 3 3 4 2_8 priedas" xfId="10173" xr:uid="{CA150CCD-2ED6-4B8C-8D6A-9B01E43099B2}"/>
    <cellStyle name="Įprastas 5 5 3 3 4 3" xfId="2749" xr:uid="{2BB70607-F841-4830-AE24-9D409442165D}"/>
    <cellStyle name="Įprastas 5 5 3 3 4 3 2" xfId="5342" xr:uid="{CB73EFF3-F52C-411A-AE3C-7C8AD7B61948}"/>
    <cellStyle name="Įprastas 5 5 3 3 4 3_8 priedas" xfId="10174" xr:uid="{4599DB8D-858E-4236-A7C1-4D3B659CA34A}"/>
    <cellStyle name="Įprastas 5 5 3 3 4 4" xfId="7070" xr:uid="{5E48265B-067F-46EE-AE8D-C8138003FB9D}"/>
    <cellStyle name="Įprastas 5 5 3 3 4 5" xfId="3614" xr:uid="{86794F7B-85AD-4483-A057-51D3ABFDB6FC}"/>
    <cellStyle name="Įprastas 5 5 3 3 4_8 priedas" xfId="10172" xr:uid="{2DBD1EA3-B486-4AE4-BDA5-F8676CC0B89E}"/>
    <cellStyle name="Įprastas 5 5 3 3 5" xfId="2100" xr:uid="{ABE384CF-C8D1-4A64-BB1D-D197D62B888D}"/>
    <cellStyle name="Įprastas 5 5 3 3 5 2" xfId="6034" xr:uid="{852D64E4-C4E4-46FC-A14F-7F2AC14204BC}"/>
    <cellStyle name="Įprastas 5 5 3 3 5 3" xfId="7762" xr:uid="{58E1037A-B277-46E2-B742-DC92F968E42D}"/>
    <cellStyle name="Įprastas 5 5 3 3 5 4" xfId="4306" xr:uid="{F39E930B-FF50-42F0-8229-8AC728B79EFD}"/>
    <cellStyle name="Įprastas 5 5 3 3 5_8 priedas" xfId="10175" xr:uid="{135571F7-4B96-4FF7-B1D1-FBF1F9CAAE88}"/>
    <cellStyle name="Įprastas 5 5 3 3 6" xfId="2577" xr:uid="{3CB5B7A3-B6C0-446E-B67D-7D28E037D7F6}"/>
    <cellStyle name="Įprastas 5 5 3 3 6 2" xfId="5170" xr:uid="{0D7CA11C-9E13-4BFE-893C-64C1DB26B2C3}"/>
    <cellStyle name="Įprastas 5 5 3 3 6_8 priedas" xfId="10176" xr:uid="{231150AD-0486-4E83-B619-F58D0BAF3516}"/>
    <cellStyle name="Įprastas 5 5 3 3 7" xfId="6898" xr:uid="{7421B17E-6342-40F9-A28D-49D1F9A73E93}"/>
    <cellStyle name="Įprastas 5 5 3 3 8" xfId="3442" xr:uid="{33FE3CF8-1751-47DA-99CD-27C1179B2A2D}"/>
    <cellStyle name="Įprastas 5 5 3 3_8 priedas" xfId="1306" xr:uid="{00000000-0005-0000-0000-000094040000}"/>
    <cellStyle name="Įprastas 5 5 3 4" xfId="417" xr:uid="{00000000-0005-0000-0000-000095040000}"/>
    <cellStyle name="Įprastas 5 5 3 4 2" xfId="649" xr:uid="{00000000-0005-0000-0000-000096040000}"/>
    <cellStyle name="Įprastas 5 5 3 4 2 2" xfId="2101" xr:uid="{6DC25C91-0731-4075-B748-7AD5C3EA9AFE}"/>
    <cellStyle name="Įprastas 5 5 3 4 2 2 2" xfId="6254" xr:uid="{CC38A026-D81F-49EB-9F2A-B5DBC4E6403F}"/>
    <cellStyle name="Įprastas 5 5 3 4 2 2 3" xfId="7982" xr:uid="{7687C31D-4637-49D4-92E5-994EF18A267A}"/>
    <cellStyle name="Įprastas 5 5 3 4 2 2 4" xfId="4526" xr:uid="{229523CD-0F1E-4DA3-A386-E02051BDC496}"/>
    <cellStyle name="Įprastas 5 5 3 4 2 2_8 priedas" xfId="10178" xr:uid="{8534AA2A-0CA3-44E0-A0E3-E5817E3A0393}"/>
    <cellStyle name="Įprastas 5 5 3 4 2 3" xfId="2797" xr:uid="{249852A0-F3AB-4761-8A5D-2847C25D9E99}"/>
    <cellStyle name="Įprastas 5 5 3 4 2 3 2" xfId="5390" xr:uid="{10276DDE-A107-4A77-958E-6755DEAAF0A6}"/>
    <cellStyle name="Įprastas 5 5 3 4 2 3_8 priedas" xfId="10179" xr:uid="{83087F05-0372-4785-B219-A9BBF2BF5C6D}"/>
    <cellStyle name="Įprastas 5 5 3 4 2 4" xfId="7118" xr:uid="{CB71F9CC-E500-48AE-8018-59CB286C996F}"/>
    <cellStyle name="Įprastas 5 5 3 4 2 5" xfId="3662" xr:uid="{1376FBCC-2955-4B31-82DB-CADC603525E3}"/>
    <cellStyle name="Įprastas 5 5 3 4 2_8 priedas" xfId="10177" xr:uid="{994DE0A4-8114-4F0C-9F58-0EA7D472305A}"/>
    <cellStyle name="Įprastas 5 5 3 4 3" xfId="2102" xr:uid="{8E93EDCE-9579-4A70-9415-71721F913ABD}"/>
    <cellStyle name="Įprastas 5 5 3 4 3 2" xfId="6037" xr:uid="{ADF15FD8-759D-4CBC-AA49-67CAF9355E2C}"/>
    <cellStyle name="Įprastas 5 5 3 4 3 3" xfId="7765" xr:uid="{D434DD37-3BFB-4BD8-A7F3-65BB6C4678CD}"/>
    <cellStyle name="Įprastas 5 5 3 4 3 4" xfId="4309" xr:uid="{2AD658D1-EC02-45CD-94C0-3313197A2F99}"/>
    <cellStyle name="Įprastas 5 5 3 4 3_8 priedas" xfId="10180" xr:uid="{F580A508-9DCB-4836-B6D3-233AE3E7CB66}"/>
    <cellStyle name="Įprastas 5 5 3 4 4" xfId="2580" xr:uid="{5933A06A-8342-4BC5-877E-8C30B87F44FE}"/>
    <cellStyle name="Įprastas 5 5 3 4 4 2" xfId="5173" xr:uid="{F57481D3-324A-44FE-8B09-BBBB2B51E9E6}"/>
    <cellStyle name="Įprastas 5 5 3 4 4_8 priedas" xfId="10181" xr:uid="{48C6CE2F-AD9B-417B-A88F-A69112AE15CC}"/>
    <cellStyle name="Įprastas 5 5 3 4 5" xfId="6901" xr:uid="{55A300CA-E2E1-43D8-B82E-00C56DAA7D29}"/>
    <cellStyle name="Įprastas 5 5 3 4 6" xfId="3445" xr:uid="{29A4956A-949F-49C3-B402-C8ACD1A37876}"/>
    <cellStyle name="Įprastas 5 5 3 4_8 priedas" xfId="1257" xr:uid="{00000000-0005-0000-0000-000097040000}"/>
    <cellStyle name="Įprastas 5 5 3 5" xfId="418" xr:uid="{00000000-0005-0000-0000-000098040000}"/>
    <cellStyle name="Įprastas 5 5 3 5 2" xfId="793" xr:uid="{00000000-0005-0000-0000-000099040000}"/>
    <cellStyle name="Įprastas 5 5 3 5 2 2" xfId="2103" xr:uid="{9A0E1D37-4D8B-4B41-B98F-ABD16B30E566}"/>
    <cellStyle name="Įprastas 5 5 3 5 2 2 2" xfId="6398" xr:uid="{9223C493-413C-4996-83CB-C859F189B120}"/>
    <cellStyle name="Įprastas 5 5 3 5 2 2 3" xfId="8126" xr:uid="{A8A09197-334B-4D87-B538-22C0D7C56236}"/>
    <cellStyle name="Įprastas 5 5 3 5 2 2 4" xfId="4670" xr:uid="{50C2D552-0925-4293-8B05-920178A5EDC0}"/>
    <cellStyle name="Įprastas 5 5 3 5 2 2_8 priedas" xfId="10183" xr:uid="{A2511423-D933-411A-BA4C-3B011F6B608E}"/>
    <cellStyle name="Įprastas 5 5 3 5 2 3" xfId="2941" xr:uid="{D520CD58-1D32-4338-8F1C-1A39EC282615}"/>
    <cellStyle name="Įprastas 5 5 3 5 2 3 2" xfId="5534" xr:uid="{4F4E79E4-1CEE-4CD9-B27E-2A1CD01FF95D}"/>
    <cellStyle name="Įprastas 5 5 3 5 2 3_8 priedas" xfId="10184" xr:uid="{FD4ECFE7-3E51-41DF-917B-E6B55FDC2CDC}"/>
    <cellStyle name="Įprastas 5 5 3 5 2 4" xfId="7262" xr:uid="{E10496E2-44B6-439E-AE70-12A8B46651A1}"/>
    <cellStyle name="Įprastas 5 5 3 5 2 5" xfId="3806" xr:uid="{226BBD32-CD81-4D1B-B496-D5F43D90A775}"/>
    <cellStyle name="Įprastas 5 5 3 5 2_8 priedas" xfId="10182" xr:uid="{F7213D33-5780-4789-9314-DEC23919338C}"/>
    <cellStyle name="Įprastas 5 5 3 5 3" xfId="2104" xr:uid="{AAF6416C-C047-45A5-A972-D8DA42A55CBF}"/>
    <cellStyle name="Įprastas 5 5 3 5 3 2" xfId="6038" xr:uid="{563955E1-D98F-4F6F-B92F-171A6A3752B1}"/>
    <cellStyle name="Įprastas 5 5 3 5 3 3" xfId="7766" xr:uid="{36990C7E-BD99-4C09-A864-8573062488A9}"/>
    <cellStyle name="Įprastas 5 5 3 5 3 4" xfId="4310" xr:uid="{2173442E-3CD4-4607-90B5-EEBD64346931}"/>
    <cellStyle name="Įprastas 5 5 3 5 3_8 priedas" xfId="10185" xr:uid="{80F41F26-5BFE-4BC7-8B7B-4E21A12B3DDE}"/>
    <cellStyle name="Įprastas 5 5 3 5 4" xfId="2581" xr:uid="{2D449E60-4FF1-476D-B8E5-3BC67CE64B8F}"/>
    <cellStyle name="Įprastas 5 5 3 5 4 2" xfId="5174" xr:uid="{0D546668-AAFB-404E-998C-E95CD2EA55C8}"/>
    <cellStyle name="Įprastas 5 5 3 5 4_8 priedas" xfId="10186" xr:uid="{3A61B07B-B959-483F-AA52-EB5499A21978}"/>
    <cellStyle name="Įprastas 5 5 3 5 5" xfId="6902" xr:uid="{2EAAA5F4-6818-48AF-B185-3D719D00552B}"/>
    <cellStyle name="Įprastas 5 5 3 5 6" xfId="3446" xr:uid="{1D297E7A-C1FD-4B10-A32F-71FE334ABF77}"/>
    <cellStyle name="Įprastas 5 5 3 5_8 priedas" xfId="1121" xr:uid="{00000000-0005-0000-0000-00009A040000}"/>
    <cellStyle name="Įprastas 5 5 3 6" xfId="505" xr:uid="{00000000-0005-0000-0000-00009B040000}"/>
    <cellStyle name="Įprastas 5 5 3 6 2" xfId="2105" xr:uid="{25B0EBFF-44E8-4001-8755-955FDAAB25C8}"/>
    <cellStyle name="Įprastas 5 5 3 6 2 2" xfId="6110" xr:uid="{76067A3A-2378-440F-872A-0318DF8E52F3}"/>
    <cellStyle name="Įprastas 5 5 3 6 2 3" xfId="7838" xr:uid="{DED01F7E-3FED-4FE2-8AE6-592FCBDAADDC}"/>
    <cellStyle name="Įprastas 5 5 3 6 2 4" xfId="4382" xr:uid="{97E404ED-2AE4-46E6-AF87-8BDBA3C64DCB}"/>
    <cellStyle name="Įprastas 5 5 3 6 2_8 priedas" xfId="10188" xr:uid="{13452584-1369-4B6B-9297-3CD59465B65C}"/>
    <cellStyle name="Įprastas 5 5 3 6 3" xfId="2653" xr:uid="{CE24D0C4-4F78-46B8-8F12-23209159D864}"/>
    <cellStyle name="Įprastas 5 5 3 6 3 2" xfId="5246" xr:uid="{51B4AD53-DE90-4FFF-B1DA-137B24831E1E}"/>
    <cellStyle name="Įprastas 5 5 3 6 3_8 priedas" xfId="10189" xr:uid="{21A3DAE7-950F-4E8B-AF00-845000F9AF69}"/>
    <cellStyle name="Įprastas 5 5 3 6 4" xfId="6974" xr:uid="{E4A9FD7A-9746-4796-B3B2-F4490CDCBCED}"/>
    <cellStyle name="Įprastas 5 5 3 6 5" xfId="3518" xr:uid="{F74ACA14-6BB7-48ED-9EB2-5BDE5CAC33B8}"/>
    <cellStyle name="Įprastas 5 5 3 6_8 priedas" xfId="10187" xr:uid="{0E4317FD-EF9B-4A6A-ACB8-16EAA08220DA}"/>
    <cellStyle name="Įprastas 5 5 3 7" xfId="2106" xr:uid="{020F7A1E-9BAD-4787-A099-23D588B0C8D3}"/>
    <cellStyle name="Įprastas 5 5 3 7 2" xfId="6030" xr:uid="{A7BE18FE-1969-47BC-8AF4-541F6B9A12F7}"/>
    <cellStyle name="Įprastas 5 5 3 7 3" xfId="7758" xr:uid="{C66D9A61-AF47-4847-A0A5-0373AF9DBB06}"/>
    <cellStyle name="Įprastas 5 5 3 7 4" xfId="4302" xr:uid="{3EC70E09-4E30-4BD3-8709-82232A453E81}"/>
    <cellStyle name="Įprastas 5 5 3 7_8 priedas" xfId="10190" xr:uid="{FA485613-9FC7-4AE5-98B2-40F38A1BE646}"/>
    <cellStyle name="Įprastas 5 5 3 8" xfId="2573" xr:uid="{F741499B-791F-458D-8A24-4FCB44E373C6}"/>
    <cellStyle name="Įprastas 5 5 3 8 2" xfId="5166" xr:uid="{63C682E1-0279-41A6-8B58-00E434405D38}"/>
    <cellStyle name="Įprastas 5 5 3 8_8 priedas" xfId="10191" xr:uid="{4777F4A4-7050-41D4-AAAF-2C7E288C499F}"/>
    <cellStyle name="Įprastas 5 5 3 9" xfId="6894" xr:uid="{88F38A1E-EA32-4ED7-843E-A4D6A6C869E2}"/>
    <cellStyle name="Įprastas 5 5 3_8 priedas" xfId="1104" xr:uid="{00000000-0005-0000-0000-00009C040000}"/>
    <cellStyle name="Įprastas 5 5 4" xfId="419" xr:uid="{00000000-0005-0000-0000-00009D040000}"/>
    <cellStyle name="Įprastas 5 5 4 2" xfId="420" xr:uid="{00000000-0005-0000-0000-00009E040000}"/>
    <cellStyle name="Įprastas 5 5 4 2 2" xfId="673" xr:uid="{00000000-0005-0000-0000-00009F040000}"/>
    <cellStyle name="Įprastas 5 5 4 2 2 2" xfId="2107" xr:uid="{3004E76A-0079-4B28-A32B-522E36AB5D47}"/>
    <cellStyle name="Įprastas 5 5 4 2 2 2 2" xfId="6278" xr:uid="{992423BE-D2A3-4413-99DD-6DC82B93C878}"/>
    <cellStyle name="Įprastas 5 5 4 2 2 2 3" xfId="8006" xr:uid="{22BA42D2-F9CA-478F-B425-D3C7E45FE63C}"/>
    <cellStyle name="Įprastas 5 5 4 2 2 2 4" xfId="4550" xr:uid="{4EF65ADC-479D-43A2-8A78-A9E8597537D7}"/>
    <cellStyle name="Įprastas 5 5 4 2 2 2_8 priedas" xfId="10193" xr:uid="{FA84B26A-813A-45C7-84FC-A1F0E84AA182}"/>
    <cellStyle name="Įprastas 5 5 4 2 2 3" xfId="2821" xr:uid="{B38F3621-BFF0-483E-B452-2F7ED47E836E}"/>
    <cellStyle name="Įprastas 5 5 4 2 2 3 2" xfId="5414" xr:uid="{35A6BBEC-8DF4-48C4-81D1-3AD474E34283}"/>
    <cellStyle name="Įprastas 5 5 4 2 2 3_8 priedas" xfId="10194" xr:uid="{E5AC2385-3851-4938-B30C-3FC318AF6139}"/>
    <cellStyle name="Įprastas 5 5 4 2 2 4" xfId="7142" xr:uid="{F69E84BF-7968-4A70-AF4C-54CA390AAA96}"/>
    <cellStyle name="Įprastas 5 5 4 2 2 5" xfId="3686" xr:uid="{9D645370-2BDD-43E1-8A14-7838393CE11B}"/>
    <cellStyle name="Įprastas 5 5 4 2 2_8 priedas" xfId="10192" xr:uid="{29EFA27D-084E-4FE9-B716-80B9076AD0C1}"/>
    <cellStyle name="Įprastas 5 5 4 2 3" xfId="2108" xr:uid="{7881C816-3B5A-45D4-BE53-110F036D7796}"/>
    <cellStyle name="Įprastas 5 5 4 2 3 2" xfId="6040" xr:uid="{CF0764CB-A862-4B28-9B3D-FFF6C34C7F33}"/>
    <cellStyle name="Įprastas 5 5 4 2 3 3" xfId="7768" xr:uid="{F1F7C35F-211E-4A6F-93CC-42EC2769EC62}"/>
    <cellStyle name="Įprastas 5 5 4 2 3 4" xfId="4312" xr:uid="{7B8CC441-F454-467A-8EDD-00A6878CFEA1}"/>
    <cellStyle name="Įprastas 5 5 4 2 3_8 priedas" xfId="10195" xr:uid="{8DDB483E-125F-4518-AB6A-36E319E65C63}"/>
    <cellStyle name="Įprastas 5 5 4 2 4" xfId="2583" xr:uid="{9B3D69FC-6E03-45EC-B47F-76CEDC3CF513}"/>
    <cellStyle name="Įprastas 5 5 4 2 4 2" xfId="5176" xr:uid="{FB437917-B130-4CF0-BB22-94762A92CF63}"/>
    <cellStyle name="Įprastas 5 5 4 2 4_8 priedas" xfId="10196" xr:uid="{370D57AA-6F20-4C5F-B344-D3BA2F6205E5}"/>
    <cellStyle name="Įprastas 5 5 4 2 5" xfId="6904" xr:uid="{347F900E-1257-4D9E-B141-9ECFCF264F8A}"/>
    <cellStyle name="Įprastas 5 5 4 2 6" xfId="3448" xr:uid="{F14AA379-3B2C-444E-82C8-989B68984DA4}"/>
    <cellStyle name="Įprastas 5 5 4 2_8 priedas" xfId="944" xr:uid="{00000000-0005-0000-0000-0000A0040000}"/>
    <cellStyle name="Įprastas 5 5 4 3" xfId="421" xr:uid="{00000000-0005-0000-0000-0000A1040000}"/>
    <cellStyle name="Įprastas 5 5 4 3 2" xfId="817" xr:uid="{00000000-0005-0000-0000-0000A2040000}"/>
    <cellStyle name="Įprastas 5 5 4 3 2 2" xfId="2109" xr:uid="{FB1EC24D-BA69-41A3-A7F5-FE0B744699EF}"/>
    <cellStyle name="Įprastas 5 5 4 3 2 2 2" xfId="6422" xr:uid="{C380AAF5-513D-4AA5-B4D3-B6EC52EA4373}"/>
    <cellStyle name="Įprastas 5 5 4 3 2 2 3" xfId="8150" xr:uid="{8F310060-BD17-457D-AAD7-7D8FABDDF778}"/>
    <cellStyle name="Įprastas 5 5 4 3 2 2 4" xfId="4694" xr:uid="{0636418A-D170-4332-9F6B-E8D263FD2B79}"/>
    <cellStyle name="Įprastas 5 5 4 3 2 2_8 priedas" xfId="10198" xr:uid="{FBB6CAF9-8C79-407E-9984-9C543C577B47}"/>
    <cellStyle name="Įprastas 5 5 4 3 2 3" xfId="2965" xr:uid="{7055572D-A7E2-4ADA-9F64-DBE7784902CE}"/>
    <cellStyle name="Įprastas 5 5 4 3 2 3 2" xfId="5558" xr:uid="{7B14E898-1FBF-466C-9928-13C5CF361F90}"/>
    <cellStyle name="Įprastas 5 5 4 3 2 3_8 priedas" xfId="10199" xr:uid="{04F630B4-DEBE-416E-81EE-B7FBFB11EC06}"/>
    <cellStyle name="Įprastas 5 5 4 3 2 4" xfId="7286" xr:uid="{CE3DCC5D-37B1-4343-9664-ED8479135192}"/>
    <cellStyle name="Įprastas 5 5 4 3 2 5" xfId="3830" xr:uid="{B9520755-2AD8-46B9-BF24-D4CC27AF5BA4}"/>
    <cellStyle name="Įprastas 5 5 4 3 2_8 priedas" xfId="10197" xr:uid="{6100BC4D-87E0-43CA-AF0F-093ECD853E50}"/>
    <cellStyle name="Įprastas 5 5 4 3 3" xfId="2110" xr:uid="{1D7CA51E-D6ED-49EC-97BF-E62C0305710C}"/>
    <cellStyle name="Įprastas 5 5 4 3 3 2" xfId="6041" xr:uid="{FCFF74F8-A75D-40F5-AD6F-CD649CAD0821}"/>
    <cellStyle name="Įprastas 5 5 4 3 3 3" xfId="7769" xr:uid="{196A1D0B-AD75-4B45-9485-884FEBC6C5CD}"/>
    <cellStyle name="Įprastas 5 5 4 3 3 4" xfId="4313" xr:uid="{DC82E4EE-6D40-473E-935F-D93234A64C09}"/>
    <cellStyle name="Įprastas 5 5 4 3 3_8 priedas" xfId="10200" xr:uid="{148931B5-093C-44BF-A75D-F1D38138EF46}"/>
    <cellStyle name="Įprastas 5 5 4 3 4" xfId="2584" xr:uid="{09E61B68-57DF-4C86-9EF6-E2E5ED73137A}"/>
    <cellStyle name="Įprastas 5 5 4 3 4 2" xfId="5177" xr:uid="{91CA0DFC-2D98-4281-9459-3735DEC54B46}"/>
    <cellStyle name="Įprastas 5 5 4 3 4_8 priedas" xfId="10201" xr:uid="{C8546082-83B5-4F08-B410-D5C232E57AEE}"/>
    <cellStyle name="Įprastas 5 5 4 3 5" xfId="6905" xr:uid="{8E42E8BB-0E85-43C7-B8EF-8696C4B6FEC0}"/>
    <cellStyle name="Įprastas 5 5 4 3 6" xfId="3449" xr:uid="{9CA404E6-CEE5-4C13-9104-97A7A18AB628}"/>
    <cellStyle name="Įprastas 5 5 4 3_8 priedas" xfId="1203" xr:uid="{00000000-0005-0000-0000-0000A3040000}"/>
    <cellStyle name="Įprastas 5 5 4 4" xfId="529" xr:uid="{00000000-0005-0000-0000-0000A4040000}"/>
    <cellStyle name="Įprastas 5 5 4 4 2" xfId="2111" xr:uid="{A0CEB153-1FFF-44E3-A21F-0639B5144799}"/>
    <cellStyle name="Įprastas 5 5 4 4 2 2" xfId="6134" xr:uid="{713D7A67-F606-42E6-B97B-AF23583821F9}"/>
    <cellStyle name="Įprastas 5 5 4 4 2 3" xfId="7862" xr:uid="{82FF6A90-0FDD-4F56-8BD9-57E1EC4B76DA}"/>
    <cellStyle name="Įprastas 5 5 4 4 2 4" xfId="4406" xr:uid="{5BB81AC0-761C-49C2-A60A-5F046C34FAB0}"/>
    <cellStyle name="Įprastas 5 5 4 4 2_8 priedas" xfId="10203" xr:uid="{061804B9-CDC7-4994-8ADE-B44AF7CC3D09}"/>
    <cellStyle name="Įprastas 5 5 4 4 3" xfId="2677" xr:uid="{DAFD731B-0FC0-4102-A853-BEBDF5B76923}"/>
    <cellStyle name="Įprastas 5 5 4 4 3 2" xfId="5270" xr:uid="{F4BC293D-8FA0-4AB5-838B-B5B0F1FBD579}"/>
    <cellStyle name="Įprastas 5 5 4 4 3_8 priedas" xfId="10204" xr:uid="{694F8E25-416B-4083-A47F-EF21F947BFC2}"/>
    <cellStyle name="Įprastas 5 5 4 4 4" xfId="6998" xr:uid="{ADD43396-FED7-4182-BBC2-66E4C9F57618}"/>
    <cellStyle name="Įprastas 5 5 4 4 5" xfId="3542" xr:uid="{CD33F870-CF28-4081-BD19-0CE0B2CEEC70}"/>
    <cellStyle name="Įprastas 5 5 4 4_8 priedas" xfId="10202" xr:uid="{C4EBA239-9309-4448-8E8E-E36EF24CCDF8}"/>
    <cellStyle name="Įprastas 5 5 4 5" xfId="2112" xr:uid="{5E0BE0BF-184D-4C15-B85F-FE0E91F020E5}"/>
    <cellStyle name="Įprastas 5 5 4 5 2" xfId="6039" xr:uid="{9AC2A8AB-8070-4B5C-AAE4-7C8EF561D414}"/>
    <cellStyle name="Įprastas 5 5 4 5 3" xfId="7767" xr:uid="{F5BDECC6-8776-448D-9240-780ABD982816}"/>
    <cellStyle name="Įprastas 5 5 4 5 4" xfId="4311" xr:uid="{0FD67ED5-7C09-4978-949F-C78C730DF945}"/>
    <cellStyle name="Įprastas 5 5 4 5_8 priedas" xfId="10205" xr:uid="{E98C4BA9-84F6-4415-998E-2FB211012A3F}"/>
    <cellStyle name="Įprastas 5 5 4 6" xfId="2582" xr:uid="{3E7FE7C0-A17A-42CF-BC8F-B48E47450C21}"/>
    <cellStyle name="Įprastas 5 5 4 6 2" xfId="5175" xr:uid="{49DF29F9-4963-4ED2-9BAB-F22D3422BA78}"/>
    <cellStyle name="Įprastas 5 5 4 6_8 priedas" xfId="10206" xr:uid="{80ED8797-B11A-4D51-8E42-D9863073B125}"/>
    <cellStyle name="Įprastas 5 5 4 7" xfId="6903" xr:uid="{BEA0A46B-1201-467C-A093-0C0F55F98477}"/>
    <cellStyle name="Įprastas 5 5 4 8" xfId="3447" xr:uid="{4838F0A4-C563-4188-927A-B7755C31ECE4}"/>
    <cellStyle name="Įprastas 5 5 4_8 priedas" xfId="985" xr:uid="{00000000-0005-0000-0000-0000A5040000}"/>
    <cellStyle name="Įprastas 5 5 5" xfId="422" xr:uid="{00000000-0005-0000-0000-0000A6040000}"/>
    <cellStyle name="Įprastas 5 5 5 2" xfId="423" xr:uid="{00000000-0005-0000-0000-0000A7040000}"/>
    <cellStyle name="Įprastas 5 5 5 2 2" xfId="721" xr:uid="{00000000-0005-0000-0000-0000A8040000}"/>
    <cellStyle name="Įprastas 5 5 5 2 2 2" xfId="2113" xr:uid="{0F9D7895-1837-4ECB-9F74-47253EFAD8B8}"/>
    <cellStyle name="Įprastas 5 5 5 2 2 2 2" xfId="6326" xr:uid="{F5A7974C-3C07-427B-8A5D-5D31DAC46C3D}"/>
    <cellStyle name="Įprastas 5 5 5 2 2 2 3" xfId="8054" xr:uid="{5B1FA123-CED2-47F7-B460-C4809DDA8ABA}"/>
    <cellStyle name="Įprastas 5 5 5 2 2 2 4" xfId="4598" xr:uid="{D6080497-D116-471B-89A0-37624DF63805}"/>
    <cellStyle name="Įprastas 5 5 5 2 2 2_8 priedas" xfId="10208" xr:uid="{FE72A6D6-16B6-40D8-BEA2-A92DA9C70A16}"/>
    <cellStyle name="Įprastas 5 5 5 2 2 3" xfId="2869" xr:uid="{D954A7AF-D99E-47C1-B013-BB1E0CFABEEA}"/>
    <cellStyle name="Įprastas 5 5 5 2 2 3 2" xfId="5462" xr:uid="{1C9328CB-F5C8-4D1A-A8EB-52C4F5248056}"/>
    <cellStyle name="Įprastas 5 5 5 2 2 3_8 priedas" xfId="10209" xr:uid="{798E379E-30B6-44E2-A39B-D8B86D82B75C}"/>
    <cellStyle name="Įprastas 5 5 5 2 2 4" xfId="7190" xr:uid="{D75AC778-3FBC-4C73-8928-49F358CADF7E}"/>
    <cellStyle name="Įprastas 5 5 5 2 2 5" xfId="3734" xr:uid="{F03D8B4C-FF00-46B4-897C-466A4EA4527E}"/>
    <cellStyle name="Įprastas 5 5 5 2 2_8 priedas" xfId="10207" xr:uid="{372CC5C8-DD1D-4E75-B9B1-582D0FCFE3F9}"/>
    <cellStyle name="Įprastas 5 5 5 2 3" xfId="2114" xr:uid="{4FEF86C2-18E8-4B3B-A1FC-9C833A55BC55}"/>
    <cellStyle name="Įprastas 5 5 5 2 3 2" xfId="6043" xr:uid="{69D1A025-8CC0-4C76-B3CF-268DD95F3A75}"/>
    <cellStyle name="Įprastas 5 5 5 2 3 3" xfId="7771" xr:uid="{9A47A56A-86B8-41B2-9561-4905F0049BD8}"/>
    <cellStyle name="Įprastas 5 5 5 2 3 4" xfId="4315" xr:uid="{656B34DC-3B26-4D5C-87D3-ABDF464A7A12}"/>
    <cellStyle name="Įprastas 5 5 5 2 3_8 priedas" xfId="10210" xr:uid="{D4ED2DBC-76C5-48B5-A92E-96225FBFBDE4}"/>
    <cellStyle name="Įprastas 5 5 5 2 4" xfId="2586" xr:uid="{33C57A41-5612-4758-9E95-225991888690}"/>
    <cellStyle name="Įprastas 5 5 5 2 4 2" xfId="5179" xr:uid="{593A2431-2E62-4370-BF62-794AB8BE31A5}"/>
    <cellStyle name="Įprastas 5 5 5 2 4_8 priedas" xfId="10211" xr:uid="{3925888C-F5FD-44D0-88F1-F57CF80A100E}"/>
    <cellStyle name="Įprastas 5 5 5 2 5" xfId="6907" xr:uid="{E672AB39-0B1F-46C8-AFA3-94F666AD9FCA}"/>
    <cellStyle name="Įprastas 5 5 5 2 6" xfId="3451" xr:uid="{817E02EE-FA00-4727-94EA-B50F030EB54F}"/>
    <cellStyle name="Įprastas 5 5 5 2_8 priedas" xfId="1294" xr:uid="{00000000-0005-0000-0000-0000A9040000}"/>
    <cellStyle name="Įprastas 5 5 5 3" xfId="424" xr:uid="{00000000-0005-0000-0000-0000AA040000}"/>
    <cellStyle name="Įprastas 5 5 5 3 2" xfId="865" xr:uid="{00000000-0005-0000-0000-0000AB040000}"/>
    <cellStyle name="Įprastas 5 5 5 3 2 2" xfId="2115" xr:uid="{32A8E8E4-2D44-430E-913A-CA32D33F4118}"/>
    <cellStyle name="Įprastas 5 5 5 3 2 2 2" xfId="6470" xr:uid="{03D11530-00BF-4918-BA89-2279C4BF0020}"/>
    <cellStyle name="Įprastas 5 5 5 3 2 2 3" xfId="8198" xr:uid="{FE11955A-793A-4C1A-9DC6-DEDBD1B411E5}"/>
    <cellStyle name="Įprastas 5 5 5 3 2 2 4" xfId="4742" xr:uid="{1771E9D8-2081-4BC3-91D8-B222137A9FBF}"/>
    <cellStyle name="Įprastas 5 5 5 3 2 2_8 priedas" xfId="10213" xr:uid="{4C96E6EA-B244-440F-923D-795BFFB08495}"/>
    <cellStyle name="Įprastas 5 5 5 3 2 3" xfId="3013" xr:uid="{B028B9F4-D1B0-403F-A2CD-4B3ED193DC78}"/>
    <cellStyle name="Įprastas 5 5 5 3 2 3 2" xfId="5606" xr:uid="{9A378499-76F0-442C-B76D-BDDA91F9944E}"/>
    <cellStyle name="Įprastas 5 5 5 3 2 3_8 priedas" xfId="10214" xr:uid="{BF6F3802-CAC8-407E-953E-299EC20D39C0}"/>
    <cellStyle name="Įprastas 5 5 5 3 2 4" xfId="7334" xr:uid="{4AF636FE-8D5B-40CA-B9A4-F215AB0F279B}"/>
    <cellStyle name="Įprastas 5 5 5 3 2 5" xfId="3878" xr:uid="{B2379520-B51A-4FBE-A624-60E554764ECD}"/>
    <cellStyle name="Įprastas 5 5 5 3 2_8 priedas" xfId="10212" xr:uid="{B838E349-F848-4A86-8595-19D9ACB5A14D}"/>
    <cellStyle name="Įprastas 5 5 5 3 3" xfId="2116" xr:uid="{67DB0046-DF97-4B73-BA1E-108E88530D01}"/>
    <cellStyle name="Įprastas 5 5 5 3 3 2" xfId="6044" xr:uid="{E0801E37-E3EF-445D-87B3-367733D8B905}"/>
    <cellStyle name="Įprastas 5 5 5 3 3 3" xfId="7772" xr:uid="{C59FD7D7-BFC8-40BD-85C8-6AB8E9657006}"/>
    <cellStyle name="Įprastas 5 5 5 3 3 4" xfId="4316" xr:uid="{03843568-C1C5-4570-95B0-35D69C64EAA4}"/>
    <cellStyle name="Įprastas 5 5 5 3 3_8 priedas" xfId="10215" xr:uid="{76E00941-E73A-499D-8922-4521C1C1377E}"/>
    <cellStyle name="Įprastas 5 5 5 3 4" xfId="2587" xr:uid="{3DCA95CA-49A0-41F2-AC34-D9B1F7A4732A}"/>
    <cellStyle name="Įprastas 5 5 5 3 4 2" xfId="5180" xr:uid="{8C9F78E9-7549-40B9-B693-7BAE10BFF605}"/>
    <cellStyle name="Įprastas 5 5 5 3 4_8 priedas" xfId="10216" xr:uid="{AE712F8A-5B05-4548-AA94-5E653D797EE6}"/>
    <cellStyle name="Įprastas 5 5 5 3 5" xfId="6908" xr:uid="{35583B39-8831-4398-86F9-3C4DC9EA3C9A}"/>
    <cellStyle name="Įprastas 5 5 5 3 6" xfId="3452" xr:uid="{AD0EEBDA-05E4-4749-A94B-5303C7C3EB97}"/>
    <cellStyle name="Įprastas 5 5 5 3_8 priedas" xfId="1157" xr:uid="{00000000-0005-0000-0000-0000AC040000}"/>
    <cellStyle name="Įprastas 5 5 5 4" xfId="577" xr:uid="{00000000-0005-0000-0000-0000AD040000}"/>
    <cellStyle name="Įprastas 5 5 5 4 2" xfId="2117" xr:uid="{902AADB6-6A9D-4C0E-8622-D62C3AD34290}"/>
    <cellStyle name="Įprastas 5 5 5 4 2 2" xfId="6182" xr:uid="{524EBF29-E85F-4BC5-982F-456DBE55682A}"/>
    <cellStyle name="Įprastas 5 5 5 4 2 3" xfId="7910" xr:uid="{322B3C91-BF86-441F-BFC7-4F350F7EE779}"/>
    <cellStyle name="Įprastas 5 5 5 4 2 4" xfId="4454" xr:uid="{925F0349-FD6E-4D89-8130-6CDDCFF69E79}"/>
    <cellStyle name="Įprastas 5 5 5 4 2_8 priedas" xfId="10218" xr:uid="{8F4956B4-401D-4344-8A5C-2F20D3CB8433}"/>
    <cellStyle name="Įprastas 5 5 5 4 3" xfId="2725" xr:uid="{22728A2B-24AA-4AD4-9F7D-3DAAC19C9CE7}"/>
    <cellStyle name="Įprastas 5 5 5 4 3 2" xfId="5318" xr:uid="{6DC97C58-3BC5-41E4-836E-CD3D76B917FD}"/>
    <cellStyle name="Įprastas 5 5 5 4 3_8 priedas" xfId="10219" xr:uid="{782A9EEF-DF57-4CF3-A08D-7849BCC56723}"/>
    <cellStyle name="Įprastas 5 5 5 4 4" xfId="7046" xr:uid="{84DE7855-A73F-4934-8AB2-B89E56F3A288}"/>
    <cellStyle name="Įprastas 5 5 5 4 5" xfId="3590" xr:uid="{CF1106AC-EFD1-45B6-BDA1-2B736BD526F2}"/>
    <cellStyle name="Įprastas 5 5 5 4_8 priedas" xfId="10217" xr:uid="{B9B558E1-A20C-4E32-9C96-E2D8A9629D34}"/>
    <cellStyle name="Įprastas 5 5 5 5" xfId="2118" xr:uid="{91B0CC3C-7F51-4B6A-BBED-A17B9BBF211B}"/>
    <cellStyle name="Įprastas 5 5 5 5 2" xfId="6042" xr:uid="{36D9D27E-9AA8-4E98-9290-53460DACEBF4}"/>
    <cellStyle name="Įprastas 5 5 5 5 3" xfId="7770" xr:uid="{2C3C9D64-140A-41B3-B298-66B79017154C}"/>
    <cellStyle name="Įprastas 5 5 5 5 4" xfId="4314" xr:uid="{5FE89A30-5F0E-454C-BF0F-5AEB71076134}"/>
    <cellStyle name="Įprastas 5 5 5 5_8 priedas" xfId="10220" xr:uid="{2DBFFE76-0EA5-41A6-97D7-FEAAE2BB43C6}"/>
    <cellStyle name="Įprastas 5 5 5 6" xfId="2585" xr:uid="{88885CE6-0394-4671-BF0C-F496F59653A5}"/>
    <cellStyle name="Įprastas 5 5 5 6 2" xfId="5178" xr:uid="{DE452296-F7E0-4BFB-AB26-EAB67536B79E}"/>
    <cellStyle name="Įprastas 5 5 5 6_8 priedas" xfId="10221" xr:uid="{F78E1B2D-DB87-4B2D-9960-6CFA7E38306B}"/>
    <cellStyle name="Įprastas 5 5 5 7" xfId="6906" xr:uid="{1BE5A537-3B10-4911-9E1B-3DB192D52A5F}"/>
    <cellStyle name="Įprastas 5 5 5 8" xfId="3450" xr:uid="{150E78E6-FBA7-471C-9792-C4AECF14C73E}"/>
    <cellStyle name="Įprastas 5 5 5_8 priedas" xfId="1069" xr:uid="{00000000-0005-0000-0000-0000AE040000}"/>
    <cellStyle name="Įprastas 5 5 6" xfId="425" xr:uid="{00000000-0005-0000-0000-0000AF040000}"/>
    <cellStyle name="Įprastas 5 5 6 2" xfId="625" xr:uid="{00000000-0005-0000-0000-0000B0040000}"/>
    <cellStyle name="Įprastas 5 5 6 2 2" xfId="2119" xr:uid="{28CF2896-633B-4C5D-A1FA-665BA66B7F83}"/>
    <cellStyle name="Įprastas 5 5 6 2 2 2" xfId="6230" xr:uid="{D6D0E4D9-2081-413F-9A6E-4C6337B3B195}"/>
    <cellStyle name="Įprastas 5 5 6 2 2 3" xfId="7958" xr:uid="{41FEACA0-1619-456A-B46A-2FA8AC70D915}"/>
    <cellStyle name="Įprastas 5 5 6 2 2 4" xfId="4502" xr:uid="{92FCE891-A52F-44B3-94D1-9AC3A5C7E9E0}"/>
    <cellStyle name="Įprastas 5 5 6 2 2_8 priedas" xfId="10223" xr:uid="{81B9BD84-DB0C-41D1-9B94-57DA29BDFB51}"/>
    <cellStyle name="Įprastas 5 5 6 2 3" xfId="2773" xr:uid="{6B204B58-FDE7-43A1-96B4-344F97DDAC44}"/>
    <cellStyle name="Įprastas 5 5 6 2 3 2" xfId="5366" xr:uid="{91F046C7-534D-4B66-9F89-8DB0406B67ED}"/>
    <cellStyle name="Įprastas 5 5 6 2 3_8 priedas" xfId="10224" xr:uid="{FAD6F26C-9BCB-4BD5-897C-451AAC476A33}"/>
    <cellStyle name="Įprastas 5 5 6 2 4" xfId="7094" xr:uid="{2B174F29-81F6-440C-A068-8F6661383B0B}"/>
    <cellStyle name="Įprastas 5 5 6 2 5" xfId="3638" xr:uid="{BAAA4824-3CEC-467F-B197-418859CC5221}"/>
    <cellStyle name="Įprastas 5 5 6 2_8 priedas" xfId="10222" xr:uid="{1540CE03-3DC3-4E78-9310-656E90109976}"/>
    <cellStyle name="Įprastas 5 5 6 3" xfId="2120" xr:uid="{84896BAC-79AA-4FF6-901E-5957F0011AF0}"/>
    <cellStyle name="Įprastas 5 5 6 3 2" xfId="6045" xr:uid="{6386867F-4C91-44A6-8E36-C52208C5BE88}"/>
    <cellStyle name="Įprastas 5 5 6 3 3" xfId="7773" xr:uid="{D539289E-BD0F-4221-B5CD-E66DC952FB13}"/>
    <cellStyle name="Įprastas 5 5 6 3 4" xfId="4317" xr:uid="{8C9BB2DE-4DFD-45A3-B0C9-E525E14B18ED}"/>
    <cellStyle name="Įprastas 5 5 6 3_8 priedas" xfId="10225" xr:uid="{5E602439-8B89-4168-A881-AE677D2446E8}"/>
    <cellStyle name="Įprastas 5 5 6 4" xfId="2588" xr:uid="{A2B0A193-E1D5-4274-A1C2-E29B89F90EA7}"/>
    <cellStyle name="Įprastas 5 5 6 4 2" xfId="5181" xr:uid="{85B66DCC-A198-4014-95A5-5A07FEE6B955}"/>
    <cellStyle name="Įprastas 5 5 6 4_8 priedas" xfId="10226" xr:uid="{B28CD77E-D7A5-4074-B3DF-6F3262F3A9A5}"/>
    <cellStyle name="Įprastas 5 5 6 5" xfId="6909" xr:uid="{40F6CC4B-BF8E-4CC6-9B44-551FFC620559}"/>
    <cellStyle name="Įprastas 5 5 6 6" xfId="3453" xr:uid="{02A18A4D-E60E-4401-A773-A3394EAE825A}"/>
    <cellStyle name="Įprastas 5 5 6_8 priedas" xfId="1022" xr:uid="{00000000-0005-0000-0000-0000B1040000}"/>
    <cellStyle name="Įprastas 5 5 7" xfId="426" xr:uid="{00000000-0005-0000-0000-0000B2040000}"/>
    <cellStyle name="Įprastas 5 5 7 2" xfId="769" xr:uid="{00000000-0005-0000-0000-0000B3040000}"/>
    <cellStyle name="Įprastas 5 5 7 2 2" xfId="2121" xr:uid="{175633C1-9DB8-4023-83CD-12DCD178DEA5}"/>
    <cellStyle name="Įprastas 5 5 7 2 2 2" xfId="6374" xr:uid="{F8F5E019-02E8-4DFC-9F3C-4DAA7C020417}"/>
    <cellStyle name="Įprastas 5 5 7 2 2 3" xfId="8102" xr:uid="{E3AF121F-C347-479C-A49A-183711F82495}"/>
    <cellStyle name="Įprastas 5 5 7 2 2 4" xfId="4646" xr:uid="{748562A0-D934-4CEB-B670-B546F996F18E}"/>
    <cellStyle name="Įprastas 5 5 7 2 2_8 priedas" xfId="10228" xr:uid="{8CA98E14-7182-4FBA-B7BA-843451D2870B}"/>
    <cellStyle name="Įprastas 5 5 7 2 3" xfId="2917" xr:uid="{86E74564-864E-4761-A328-D4A3B7181107}"/>
    <cellStyle name="Įprastas 5 5 7 2 3 2" xfId="5510" xr:uid="{753DEB75-C90D-4EDB-A66E-F8B061594E1F}"/>
    <cellStyle name="Įprastas 5 5 7 2 3_8 priedas" xfId="10229" xr:uid="{3145023F-3C08-4715-919D-BDC180C6BCA1}"/>
    <cellStyle name="Įprastas 5 5 7 2 4" xfId="7238" xr:uid="{3A496B74-F99B-4DED-9C78-BC2E73661CAA}"/>
    <cellStyle name="Įprastas 5 5 7 2 5" xfId="3782" xr:uid="{C88F3CAC-30B8-45A0-85C6-9E463A1326C5}"/>
    <cellStyle name="Įprastas 5 5 7 2_8 priedas" xfId="10227" xr:uid="{AAB53651-195A-425B-BD69-8A5CC66E76D1}"/>
    <cellStyle name="Įprastas 5 5 7 3" xfId="2122" xr:uid="{6F43F92B-0A0F-4AD6-9E34-941DB1937226}"/>
    <cellStyle name="Įprastas 5 5 7 3 2" xfId="6046" xr:uid="{D46B5B51-FA00-461A-9A69-FB10282AAB05}"/>
    <cellStyle name="Įprastas 5 5 7 3 3" xfId="7774" xr:uid="{6D789DD7-E40D-426D-9939-19011D4F499D}"/>
    <cellStyle name="Įprastas 5 5 7 3 4" xfId="4318" xr:uid="{15065F5D-BBBB-46A1-A50D-46C1E8701897}"/>
    <cellStyle name="Įprastas 5 5 7 3_8 priedas" xfId="10230" xr:uid="{3FC43D3F-7287-4DF7-A79D-958FFCCA3653}"/>
    <cellStyle name="Įprastas 5 5 7 4" xfId="2589" xr:uid="{EB766372-9B02-4B39-A352-51B783C49175}"/>
    <cellStyle name="Įprastas 5 5 7 4 2" xfId="5182" xr:uid="{2EEB8B92-CBF4-4CC5-A6A4-FA1A6754E065}"/>
    <cellStyle name="Įprastas 5 5 7 4_8 priedas" xfId="10231" xr:uid="{FCC8E4F8-B6F0-4E0F-8827-729D4670DCA2}"/>
    <cellStyle name="Įprastas 5 5 7 5" xfId="6910" xr:uid="{03A9FA04-4CAB-425A-B392-4ECB8096CDB5}"/>
    <cellStyle name="Įprastas 5 5 7 6" xfId="3454" xr:uid="{B43F0F97-6D9A-4DD8-B8D5-1B1D38A482EC}"/>
    <cellStyle name="Įprastas 5 5 7_8 priedas" xfId="1247" xr:uid="{00000000-0005-0000-0000-0000B4040000}"/>
    <cellStyle name="Įprastas 5 5 8" xfId="481" xr:uid="{00000000-0005-0000-0000-0000B5040000}"/>
    <cellStyle name="Įprastas 5 5 8 2" xfId="2123" xr:uid="{7C7D1402-AA94-4130-952B-976391DD8805}"/>
    <cellStyle name="Įprastas 5 5 8 2 2" xfId="6086" xr:uid="{EA185799-D6F0-4D01-BDFD-33A075EF3515}"/>
    <cellStyle name="Įprastas 5 5 8 2 3" xfId="7814" xr:uid="{012A5BD4-C5DF-4EF7-88E0-F45F115027D4}"/>
    <cellStyle name="Įprastas 5 5 8 2 4" xfId="4358" xr:uid="{1C32ADAB-8D74-4A9C-96A8-98C3D00B05CC}"/>
    <cellStyle name="Įprastas 5 5 8 2_8 priedas" xfId="10233" xr:uid="{642DB0B0-91F7-4AF7-8E72-EB2EAE102E05}"/>
    <cellStyle name="Įprastas 5 5 8 3" xfId="2629" xr:uid="{B7E97BA5-B642-47D5-A812-5018A31915E8}"/>
    <cellStyle name="Įprastas 5 5 8 3 2" xfId="5222" xr:uid="{B2EBF610-02C5-49E7-9FD5-514AF602CC42}"/>
    <cellStyle name="Įprastas 5 5 8 3_8 priedas" xfId="10234" xr:uid="{3473DF5D-8C1C-4AFD-A729-8C01A0FDEAFC}"/>
    <cellStyle name="Įprastas 5 5 8 4" xfId="6950" xr:uid="{F9271079-C295-440A-B1E9-0424A0E1CE26}"/>
    <cellStyle name="Įprastas 5 5 8 5" xfId="3494" xr:uid="{76103993-83E4-426A-AD6C-AB080FB3E10C}"/>
    <cellStyle name="Įprastas 5 5 8_8 priedas" xfId="10232" xr:uid="{8E2F6FD8-74CC-4302-9CC7-9CEDB866AA05}"/>
    <cellStyle name="Įprastas 5 5 9" xfId="2124" xr:uid="{24D47CEE-5F81-46A3-9FE2-5CDAADD86573}"/>
    <cellStyle name="Įprastas 5 5 9 2" xfId="5654" xr:uid="{5CAC351B-EF84-4DA5-A96E-00F7C792D7B6}"/>
    <cellStyle name="Įprastas 5 5 9 3" xfId="7382" xr:uid="{6865B641-97BA-4FFA-AAB8-1F2AB95EC35F}"/>
    <cellStyle name="Įprastas 5 5 9 4" xfId="3926" xr:uid="{2231F260-14E6-4711-8EBA-EDD20036772C}"/>
    <cellStyle name="Įprastas 5 5 9_8 priedas" xfId="10235" xr:uid="{0825FE1E-C774-4650-AA61-09103E128A2E}"/>
    <cellStyle name="Įprastas 5 5_8 priedas" xfId="391" xr:uid="{00000000-0005-0000-0000-0000B6040000}"/>
    <cellStyle name="Įprastas 5 6" xfId="427" xr:uid="{00000000-0005-0000-0000-0000B7040000}"/>
    <cellStyle name="Įprastas 5 6 10" xfId="6911" xr:uid="{C449CA4C-62EC-4352-814D-6B40392A88FA}"/>
    <cellStyle name="Įprastas 5 6 11" xfId="3455" xr:uid="{FE9B9F3B-8697-4B63-9217-47A97377385B}"/>
    <cellStyle name="Įprastas 5 6 2" xfId="428" xr:uid="{00000000-0005-0000-0000-0000B8040000}"/>
    <cellStyle name="Įprastas 5 6 2 10" xfId="3456" xr:uid="{29C6D86E-21B9-4CF6-B78D-88417783C4AB}"/>
    <cellStyle name="Įprastas 5 6 2 2" xfId="429" xr:uid="{00000000-0005-0000-0000-0000B9040000}"/>
    <cellStyle name="Įprastas 5 6 2 2 2" xfId="430" xr:uid="{00000000-0005-0000-0000-0000BA040000}"/>
    <cellStyle name="Įprastas 5 6 2 2 2 2" xfId="703" xr:uid="{00000000-0005-0000-0000-0000BB040000}"/>
    <cellStyle name="Įprastas 5 6 2 2 2 2 2" xfId="2125" xr:uid="{61DC4365-11CA-43A7-AED0-AA6C6D8AF892}"/>
    <cellStyle name="Įprastas 5 6 2 2 2 2 2 2" xfId="6308" xr:uid="{737A94B2-4F40-434D-AB00-FBAA9DA1CE00}"/>
    <cellStyle name="Įprastas 5 6 2 2 2 2 2 3" xfId="8036" xr:uid="{94E86C8F-EB94-4311-9F8D-456E11863BA9}"/>
    <cellStyle name="Įprastas 5 6 2 2 2 2 2 4" xfId="4580" xr:uid="{50D90AFE-BAEC-4A9E-B827-1598DD04BC1B}"/>
    <cellStyle name="Įprastas 5 6 2 2 2 2 2_8 priedas" xfId="10237" xr:uid="{B23A975B-FD27-4D55-B130-94895FDF0DD1}"/>
    <cellStyle name="Įprastas 5 6 2 2 2 2 3" xfId="2851" xr:uid="{8EA57665-5D7F-4D59-A509-A8DE286030D5}"/>
    <cellStyle name="Įprastas 5 6 2 2 2 2 3 2" xfId="5444" xr:uid="{D85BAC2D-AFD8-4AEF-AE17-BA7D1570B94A}"/>
    <cellStyle name="Įprastas 5 6 2 2 2 2 3_8 priedas" xfId="10238" xr:uid="{192CF83E-41E2-4E0B-ABFB-041D54EFE4B4}"/>
    <cellStyle name="Įprastas 5 6 2 2 2 2 4" xfId="7172" xr:uid="{ACBBC6D8-BC03-4D25-B117-8AFFD083A527}"/>
    <cellStyle name="Įprastas 5 6 2 2 2 2 5" xfId="3716" xr:uid="{FAC70797-64E3-47A0-9719-186AB0EE6BC3}"/>
    <cellStyle name="Įprastas 5 6 2 2 2 2_8 priedas" xfId="10236" xr:uid="{C58C0D68-49C6-4585-B200-724A0A2B75A3}"/>
    <cellStyle name="Įprastas 5 6 2 2 2 3" xfId="2126" xr:uid="{7468C4B4-831F-4DFA-AB8C-943FB531FC8D}"/>
    <cellStyle name="Įprastas 5 6 2 2 2 3 2" xfId="6050" xr:uid="{39087114-9A91-414E-B99C-389DC1E536AE}"/>
    <cellStyle name="Įprastas 5 6 2 2 2 3 3" xfId="7778" xr:uid="{D86364B5-8818-4D5D-90A5-699879F02384}"/>
    <cellStyle name="Įprastas 5 6 2 2 2 3 4" xfId="4322" xr:uid="{6FFF53CD-17FE-4A63-8D1D-EBBD91644BEC}"/>
    <cellStyle name="Įprastas 5 6 2 2 2 3_8 priedas" xfId="10239" xr:uid="{CA1174FA-ACE8-4455-B6B7-319FC1847787}"/>
    <cellStyle name="Įprastas 5 6 2 2 2 4" xfId="2593" xr:uid="{E52BB572-9BD7-4B8C-A5F4-FB4BBD1C3F6F}"/>
    <cellStyle name="Įprastas 5 6 2 2 2 4 2" xfId="5186" xr:uid="{D7BD1EC5-B66F-4CB8-9A76-4FD676323F07}"/>
    <cellStyle name="Įprastas 5 6 2 2 2 4_8 priedas" xfId="10240" xr:uid="{2AD6D495-0544-4CAF-BE0C-7359FEC9156F}"/>
    <cellStyle name="Įprastas 5 6 2 2 2 5" xfId="6914" xr:uid="{13DB6D97-C000-47ED-9176-90D8CB582CDF}"/>
    <cellStyle name="Įprastas 5 6 2 2 2 6" xfId="3458" xr:uid="{215B6143-B42F-4B28-A322-9EEDE2314994}"/>
    <cellStyle name="Įprastas 5 6 2 2 2_8 priedas" xfId="1318" xr:uid="{00000000-0005-0000-0000-0000BC040000}"/>
    <cellStyle name="Įprastas 5 6 2 2 3" xfId="431" xr:uid="{00000000-0005-0000-0000-0000BD040000}"/>
    <cellStyle name="Įprastas 5 6 2 2 3 2" xfId="847" xr:uid="{00000000-0005-0000-0000-0000BE040000}"/>
    <cellStyle name="Įprastas 5 6 2 2 3 2 2" xfId="2127" xr:uid="{30B47A71-022B-468F-899E-792524F7878F}"/>
    <cellStyle name="Įprastas 5 6 2 2 3 2 2 2" xfId="6452" xr:uid="{FDEF74E2-FBD1-4D1D-BC6A-242BFB62F2B3}"/>
    <cellStyle name="Įprastas 5 6 2 2 3 2 2 3" xfId="8180" xr:uid="{5597DFDA-49F7-4862-8C73-6A36307343A7}"/>
    <cellStyle name="Įprastas 5 6 2 2 3 2 2 4" xfId="4724" xr:uid="{95F24715-BEA3-4ACD-94EB-2294E671A8AD}"/>
    <cellStyle name="Įprastas 5 6 2 2 3 2 2_8 priedas" xfId="10242" xr:uid="{4D243CEF-35D4-40FC-829B-69F795669924}"/>
    <cellStyle name="Įprastas 5 6 2 2 3 2 3" xfId="2995" xr:uid="{8E77A301-5E3C-444A-9651-6A1A6ED70AA4}"/>
    <cellStyle name="Įprastas 5 6 2 2 3 2 3 2" xfId="5588" xr:uid="{D1F47405-58D4-4D9F-A2E9-F50FC1F2C805}"/>
    <cellStyle name="Įprastas 5 6 2 2 3 2 3_8 priedas" xfId="10243" xr:uid="{DF649D63-0C67-4D06-A3F6-812E6B1B9A9E}"/>
    <cellStyle name="Įprastas 5 6 2 2 3 2 4" xfId="7316" xr:uid="{9214A64F-0732-478B-B6A0-3B050960097C}"/>
    <cellStyle name="Įprastas 5 6 2 2 3 2 5" xfId="3860" xr:uid="{18C0E5E9-7F83-41CB-941C-C9043694C35B}"/>
    <cellStyle name="Įprastas 5 6 2 2 3 2_8 priedas" xfId="10241" xr:uid="{38168567-B599-44E6-B5FC-E527791A87EF}"/>
    <cellStyle name="Įprastas 5 6 2 2 3 3" xfId="2128" xr:uid="{B4E736B2-9CC4-4FBE-A91A-6ED26EBA8B7A}"/>
    <cellStyle name="Įprastas 5 6 2 2 3 3 2" xfId="6051" xr:uid="{62CB449D-564A-4E69-899E-99F82D92A762}"/>
    <cellStyle name="Įprastas 5 6 2 2 3 3 3" xfId="7779" xr:uid="{05E59616-FB30-48FD-BB1F-BC09F32AE878}"/>
    <cellStyle name="Įprastas 5 6 2 2 3 3 4" xfId="4323" xr:uid="{01E87BCC-125B-4718-A9B4-E859C3FA509D}"/>
    <cellStyle name="Įprastas 5 6 2 2 3 3_8 priedas" xfId="10244" xr:uid="{249F785A-346A-4404-97AF-D75999E51369}"/>
    <cellStyle name="Įprastas 5 6 2 2 3 4" xfId="2594" xr:uid="{715AC3E7-4BC4-4481-84E3-3EE0A3AEE74B}"/>
    <cellStyle name="Įprastas 5 6 2 2 3 4 2" xfId="5187" xr:uid="{B69AFFAF-E38A-497C-8B77-5764184CA58D}"/>
    <cellStyle name="Įprastas 5 6 2 2 3 4_8 priedas" xfId="10245" xr:uid="{ABE4C2A3-F896-4BFF-AC0B-485B02EB3A62}"/>
    <cellStyle name="Įprastas 5 6 2 2 3 5" xfId="6915" xr:uid="{39B28C83-9FA3-4C7A-B58C-3DF0D65BF294}"/>
    <cellStyle name="Įprastas 5 6 2 2 3 6" xfId="3459" xr:uid="{F19C88F8-DF5B-4BF1-876C-6E61A8D7EF7A}"/>
    <cellStyle name="Įprastas 5 6 2 2 3_8 priedas" xfId="1181" xr:uid="{00000000-0005-0000-0000-0000BF040000}"/>
    <cellStyle name="Įprastas 5 6 2 2 4" xfId="559" xr:uid="{00000000-0005-0000-0000-0000C0040000}"/>
    <cellStyle name="Įprastas 5 6 2 2 4 2" xfId="2129" xr:uid="{9E6370FD-5E60-449F-9B39-FA82AA7BF5B0}"/>
    <cellStyle name="Įprastas 5 6 2 2 4 2 2" xfId="6164" xr:uid="{65E2F5A1-2396-4CC5-A435-148F35B102CD}"/>
    <cellStyle name="Įprastas 5 6 2 2 4 2 3" xfId="7892" xr:uid="{92FD95E7-6D7D-441D-8769-FBD4B3EA67C2}"/>
    <cellStyle name="Įprastas 5 6 2 2 4 2 4" xfId="4436" xr:uid="{B4B83AF1-0808-406C-8D62-BC2A87CADD37}"/>
    <cellStyle name="Įprastas 5 6 2 2 4 2_8 priedas" xfId="10247" xr:uid="{8CF55144-7932-446C-8FF9-61ABB2CB113E}"/>
    <cellStyle name="Įprastas 5 6 2 2 4 3" xfId="2707" xr:uid="{0BD0E691-0E97-4A97-BB4D-116408DDE8EE}"/>
    <cellStyle name="Įprastas 5 6 2 2 4 3 2" xfId="5300" xr:uid="{CFF97A3D-A1A8-4B5F-97EF-637B54FC019F}"/>
    <cellStyle name="Įprastas 5 6 2 2 4 3_8 priedas" xfId="10248" xr:uid="{BB25570E-304F-48B9-9C79-1B91639D10AA}"/>
    <cellStyle name="Įprastas 5 6 2 2 4 4" xfId="7028" xr:uid="{3540BE74-6280-4D45-99D5-E235F1FEA159}"/>
    <cellStyle name="Įprastas 5 6 2 2 4 5" xfId="3572" xr:uid="{851D5CE4-CC5F-4EE2-968B-2F22076A0A4E}"/>
    <cellStyle name="Įprastas 5 6 2 2 4_8 priedas" xfId="10246" xr:uid="{B6DB649F-BD26-4EB2-8919-6C8C99A50EEB}"/>
    <cellStyle name="Įprastas 5 6 2 2 5" xfId="2130" xr:uid="{4DFD7CE9-1165-487D-8C7E-178833C19492}"/>
    <cellStyle name="Įprastas 5 6 2 2 5 2" xfId="6049" xr:uid="{2C9E67D6-81F5-4644-A5D2-67B0314211C8}"/>
    <cellStyle name="Įprastas 5 6 2 2 5 3" xfId="7777" xr:uid="{614AEF9F-E0AE-428A-A21F-A9DCC738947F}"/>
    <cellStyle name="Įprastas 5 6 2 2 5 4" xfId="4321" xr:uid="{FB0CB552-5F6A-4043-822D-8B3B1E5F229C}"/>
    <cellStyle name="Įprastas 5 6 2 2 5_8 priedas" xfId="10249" xr:uid="{FAE907BB-1F23-4136-9C3D-17E88E79D058}"/>
    <cellStyle name="Įprastas 5 6 2 2 6" xfId="2592" xr:uid="{E99C461B-B4B2-4915-857A-A17DC6658632}"/>
    <cellStyle name="Įprastas 5 6 2 2 6 2" xfId="5185" xr:uid="{B5682778-D1FE-4DB2-ACE6-6DE1359F3798}"/>
    <cellStyle name="Įprastas 5 6 2 2 6_8 priedas" xfId="10250" xr:uid="{36A0EC2C-51C6-45FD-BCFA-E89E37AF0A5E}"/>
    <cellStyle name="Įprastas 5 6 2 2 7" xfId="6913" xr:uid="{99079019-7E0B-4AB5-A28B-3FE261FD9C97}"/>
    <cellStyle name="Įprastas 5 6 2 2 8" xfId="3457" xr:uid="{E4DB7B5B-7473-409B-B445-31E8A8108D04}"/>
    <cellStyle name="Įprastas 5 6 2 2_8 priedas" xfId="1093" xr:uid="{00000000-0005-0000-0000-0000C1040000}"/>
    <cellStyle name="Įprastas 5 6 2 3" xfId="432" xr:uid="{00000000-0005-0000-0000-0000C2040000}"/>
    <cellStyle name="Įprastas 5 6 2 3 2" xfId="433" xr:uid="{00000000-0005-0000-0000-0000C3040000}"/>
    <cellStyle name="Įprastas 5 6 2 3 2 2" xfId="751" xr:uid="{00000000-0005-0000-0000-0000C4040000}"/>
    <cellStyle name="Įprastas 5 6 2 3 2 2 2" xfId="2131" xr:uid="{0E0E9BF5-1030-4ADA-BF51-B6073B000D8F}"/>
    <cellStyle name="Įprastas 5 6 2 3 2 2 2 2" xfId="6356" xr:uid="{10FEEDCB-879C-4E59-845B-42129E554463}"/>
    <cellStyle name="Įprastas 5 6 2 3 2 2 2 3" xfId="8084" xr:uid="{2D6BCC15-2285-40F3-9015-9252C6DE4AB0}"/>
    <cellStyle name="Įprastas 5 6 2 3 2 2 2 4" xfId="4628" xr:uid="{EC3B1256-8833-4801-9043-4BD31FAC20D4}"/>
    <cellStyle name="Įprastas 5 6 2 3 2 2 2_8 priedas" xfId="10252" xr:uid="{EE45C3A0-1595-4495-98EF-F26DCE9DAFDA}"/>
    <cellStyle name="Įprastas 5 6 2 3 2 2 3" xfId="2899" xr:uid="{4E208821-257E-4FC9-A6DF-D80921E7E32C}"/>
    <cellStyle name="Įprastas 5 6 2 3 2 2 3 2" xfId="5492" xr:uid="{0C7D9A09-2EE4-415F-B093-6A3FE2364224}"/>
    <cellStyle name="Įprastas 5 6 2 3 2 2 3_8 priedas" xfId="10253" xr:uid="{495EAC64-3CA9-4678-9214-9196CD852F51}"/>
    <cellStyle name="Įprastas 5 6 2 3 2 2 4" xfId="7220" xr:uid="{70B09FBD-0A15-42B6-B880-A78D4999B1F4}"/>
    <cellStyle name="Įprastas 5 6 2 3 2 2 5" xfId="3764" xr:uid="{25E44DD3-2CCA-40AD-B97C-B6FB62EBCF6D}"/>
    <cellStyle name="Įprastas 5 6 2 3 2 2_8 priedas" xfId="10251" xr:uid="{C6664C14-AADA-498E-86F3-B6D6E49EB3FD}"/>
    <cellStyle name="Įprastas 5 6 2 3 2 3" xfId="2132" xr:uid="{B28CC7F0-E9A5-4694-BFD1-8AD4FA8D3D98}"/>
    <cellStyle name="Įprastas 5 6 2 3 2 3 2" xfId="6053" xr:uid="{E66247EC-5655-4FE4-A228-FBDB7138BA39}"/>
    <cellStyle name="Įprastas 5 6 2 3 2 3 3" xfId="7781" xr:uid="{EF45FE82-A4C5-4966-AA30-FA9C29009EFB}"/>
    <cellStyle name="Įprastas 5 6 2 3 2 3 4" xfId="4325" xr:uid="{2F3D0D23-6A41-4836-A254-3B64958623F8}"/>
    <cellStyle name="Įprastas 5 6 2 3 2 3_8 priedas" xfId="10254" xr:uid="{F0AF70E5-7CA7-4FF9-BD9F-D7175899C5AB}"/>
    <cellStyle name="Įprastas 5 6 2 3 2 4" xfId="2596" xr:uid="{B6EAA3AA-1A38-47B4-AD2C-3561D21767A5}"/>
    <cellStyle name="Įprastas 5 6 2 3 2 4 2" xfId="5189" xr:uid="{3642B20E-7AD5-4E90-9783-507DE58D600C}"/>
    <cellStyle name="Įprastas 5 6 2 3 2 4_8 priedas" xfId="10255" xr:uid="{39FE58C7-0401-40C2-B9D1-37B1ACB17639}"/>
    <cellStyle name="Įprastas 5 6 2 3 2 5" xfId="6917" xr:uid="{E1B84018-DEA7-4E5C-AEB5-C95425D97610}"/>
    <cellStyle name="Įprastas 5 6 2 3 2 6" xfId="3461" xr:uid="{416F1042-7669-4D1F-9BA9-BE414E355BB4}"/>
    <cellStyle name="Įprastas 5 6 2 3 2_8 priedas" xfId="1269" xr:uid="{00000000-0005-0000-0000-0000C5040000}"/>
    <cellStyle name="Įprastas 5 6 2 3 3" xfId="434" xr:uid="{00000000-0005-0000-0000-0000C6040000}"/>
    <cellStyle name="Įprastas 5 6 2 3 3 2" xfId="895" xr:uid="{00000000-0005-0000-0000-0000C7040000}"/>
    <cellStyle name="Įprastas 5 6 2 3 3 2 2" xfId="2133" xr:uid="{0DA15653-DAC4-4F33-93C8-546DE4CD8CA5}"/>
    <cellStyle name="Įprastas 5 6 2 3 3 2 2 2" xfId="6500" xr:uid="{25908651-14E6-4322-91ED-D419100E1FB9}"/>
    <cellStyle name="Įprastas 5 6 2 3 3 2 2 3" xfId="8228" xr:uid="{5B0BD1AD-6EEC-40FC-8A03-2B3CCAB7CF62}"/>
    <cellStyle name="Įprastas 5 6 2 3 3 2 2 4" xfId="4772" xr:uid="{5BCBCB99-2239-4166-BFE7-D624CED2040F}"/>
    <cellStyle name="Įprastas 5 6 2 3 3 2 2_8 priedas" xfId="10257" xr:uid="{3A7C3EF5-8D93-4808-B22F-AFE831123844}"/>
    <cellStyle name="Įprastas 5 6 2 3 3 2 3" xfId="3043" xr:uid="{FC09A04E-11B4-4E47-8668-8DA6F363409A}"/>
    <cellStyle name="Įprastas 5 6 2 3 3 2 3 2" xfId="5636" xr:uid="{3BD599DE-D3F6-4B9D-9F10-FC886E009C12}"/>
    <cellStyle name="Įprastas 5 6 2 3 3 2 3_8 priedas" xfId="10258" xr:uid="{327DEDD9-3F9F-437D-9A9E-AB67F0BE6F18}"/>
    <cellStyle name="Įprastas 5 6 2 3 3 2 4" xfId="7364" xr:uid="{BBDA95C9-1A4F-4F97-9BD7-1A7631A986F9}"/>
    <cellStyle name="Įprastas 5 6 2 3 3 2 5" xfId="3908" xr:uid="{DC05F76E-D2F8-456E-9242-4DB59985EC68}"/>
    <cellStyle name="Įprastas 5 6 2 3 3 2_8 priedas" xfId="10256" xr:uid="{C949776E-96C3-48A7-B277-2154FF69899B}"/>
    <cellStyle name="Įprastas 5 6 2 3 3 3" xfId="2134" xr:uid="{1476C8DF-305B-4846-8584-ABECA6257EC4}"/>
    <cellStyle name="Įprastas 5 6 2 3 3 3 2" xfId="6054" xr:uid="{1AA17E11-6248-4333-AF23-EA3C9CD855EA}"/>
    <cellStyle name="Įprastas 5 6 2 3 3 3 3" xfId="7782" xr:uid="{226C42D4-D7AA-49BF-AFE4-C32558F97D7E}"/>
    <cellStyle name="Įprastas 5 6 2 3 3 3 4" xfId="4326" xr:uid="{5BDE49C4-B619-4A74-ADD2-DDAA0057681A}"/>
    <cellStyle name="Įprastas 5 6 2 3 3 3_8 priedas" xfId="10259" xr:uid="{7DD0DEF8-97C2-4B94-AEC0-54D0C165FDA1}"/>
    <cellStyle name="Įprastas 5 6 2 3 3 4" xfId="2597" xr:uid="{54681C73-2622-412D-AFCC-360CCB3754F0}"/>
    <cellStyle name="Įprastas 5 6 2 3 3 4 2" xfId="5190" xr:uid="{DF7E5B02-87F5-4E20-8602-CE44395C54CD}"/>
    <cellStyle name="Įprastas 5 6 2 3 3 4_8 priedas" xfId="10260" xr:uid="{0AA233A0-0A1B-47BB-86DC-D118B704B951}"/>
    <cellStyle name="Įprastas 5 6 2 3 3 5" xfId="6918" xr:uid="{44D7CDD1-9E6C-4BBD-B84E-B25E51788591}"/>
    <cellStyle name="Įprastas 5 6 2 3 3 6" xfId="3462" xr:uid="{A205F4A8-E00B-4AA5-BB7F-83CB170D3081}"/>
    <cellStyle name="Įprastas 5 6 2 3 3_8 priedas" xfId="1133" xr:uid="{00000000-0005-0000-0000-0000C8040000}"/>
    <cellStyle name="Įprastas 5 6 2 3 4" xfId="607" xr:uid="{00000000-0005-0000-0000-0000C9040000}"/>
    <cellStyle name="Įprastas 5 6 2 3 4 2" xfId="2135" xr:uid="{3FD97057-00EB-4556-9D61-7C47BBA3F5A9}"/>
    <cellStyle name="Įprastas 5 6 2 3 4 2 2" xfId="6212" xr:uid="{CC0F9DD3-1C6F-4900-88ED-354A9D410E17}"/>
    <cellStyle name="Įprastas 5 6 2 3 4 2 3" xfId="7940" xr:uid="{7C5AB431-143C-49FE-BB18-80CF4F462523}"/>
    <cellStyle name="Įprastas 5 6 2 3 4 2 4" xfId="4484" xr:uid="{01E8F938-B573-4827-B314-66ECF3445C08}"/>
    <cellStyle name="Įprastas 5 6 2 3 4 2_8 priedas" xfId="10262" xr:uid="{21483B45-1C59-4140-A126-CFD353AAA37D}"/>
    <cellStyle name="Įprastas 5 6 2 3 4 3" xfId="2755" xr:uid="{77A7EC60-F48D-4181-9A6F-4D5F850F5311}"/>
    <cellStyle name="Įprastas 5 6 2 3 4 3 2" xfId="5348" xr:uid="{C209AAF0-7169-4F40-B734-0B2044FD0E3D}"/>
    <cellStyle name="Įprastas 5 6 2 3 4 3_8 priedas" xfId="10263" xr:uid="{1888DEEC-B745-49A2-A51B-34EF7BD36F9C}"/>
    <cellStyle name="Įprastas 5 6 2 3 4 4" xfId="7076" xr:uid="{EAC9E057-7554-4747-BC15-0790B6E55480}"/>
    <cellStyle name="Įprastas 5 6 2 3 4 5" xfId="3620" xr:uid="{97D61354-88F9-4AEE-A8D2-3D39A5696EA6}"/>
    <cellStyle name="Įprastas 5 6 2 3 4_8 priedas" xfId="10261" xr:uid="{3585BEDE-ABC0-4454-8F2C-F1911A4A3955}"/>
    <cellStyle name="Įprastas 5 6 2 3 5" xfId="2136" xr:uid="{8CAA39BB-0048-4AA1-9D34-060B8C622F36}"/>
    <cellStyle name="Įprastas 5 6 2 3 5 2" xfId="6052" xr:uid="{4EDA92FC-2C43-4C8B-AB4F-B0C86F6523D2}"/>
    <cellStyle name="Įprastas 5 6 2 3 5 3" xfId="7780" xr:uid="{33C37555-0839-4A11-A8A5-8C0882B1FA53}"/>
    <cellStyle name="Įprastas 5 6 2 3 5 4" xfId="4324" xr:uid="{B8918E09-204B-4F5E-9278-042C29F42CD2}"/>
    <cellStyle name="Įprastas 5 6 2 3 5_8 priedas" xfId="10264" xr:uid="{D80FBFBF-2B84-47B5-AB29-A59B2C5BF5EB}"/>
    <cellStyle name="Įprastas 5 6 2 3 6" xfId="2595" xr:uid="{75F63336-5249-4D32-A5F7-A90C3EB784AA}"/>
    <cellStyle name="Įprastas 5 6 2 3 6 2" xfId="5188" xr:uid="{2684360F-6A0C-4707-B151-D3235A19D28B}"/>
    <cellStyle name="Įprastas 5 6 2 3 6_8 priedas" xfId="10265" xr:uid="{BDA1D56F-248A-4A4B-B22E-4DC601B2E477}"/>
    <cellStyle name="Įprastas 5 6 2 3 7" xfId="6916" xr:uid="{93F7233E-DAFB-4FEA-B96A-55C2FEA1A789}"/>
    <cellStyle name="Įprastas 5 6 2 3 8" xfId="3460" xr:uid="{644C2FBA-E7C8-40ED-AD6F-7B65133C7912}"/>
    <cellStyle name="Įprastas 5 6 2 3_8 priedas" xfId="1045" xr:uid="{00000000-0005-0000-0000-0000CA040000}"/>
    <cellStyle name="Įprastas 5 6 2 4" xfId="435" xr:uid="{00000000-0005-0000-0000-0000CB040000}"/>
    <cellStyle name="Įprastas 5 6 2 4 2" xfId="655" xr:uid="{00000000-0005-0000-0000-0000CC040000}"/>
    <cellStyle name="Įprastas 5 6 2 4 2 2" xfId="2137" xr:uid="{A641B8FE-A4C4-4A42-B646-96228A7EA592}"/>
    <cellStyle name="Įprastas 5 6 2 4 2 2 2" xfId="6260" xr:uid="{82C1A4D1-28D8-4A7C-AA58-73B5BFB880AC}"/>
    <cellStyle name="Įprastas 5 6 2 4 2 2 3" xfId="7988" xr:uid="{31E329A4-3D42-458E-B859-F9C8D9B516D5}"/>
    <cellStyle name="Įprastas 5 6 2 4 2 2 4" xfId="4532" xr:uid="{7C72E167-AB88-43BF-B9D2-2905F3F87EF1}"/>
    <cellStyle name="Įprastas 5 6 2 4 2 2_8 priedas" xfId="10267" xr:uid="{AD826D05-242D-495D-B71C-051A09AA10A3}"/>
    <cellStyle name="Įprastas 5 6 2 4 2 3" xfId="2803" xr:uid="{A0614D68-C64C-4AD6-942E-92B9FE883CDA}"/>
    <cellStyle name="Įprastas 5 6 2 4 2 3 2" xfId="5396" xr:uid="{F06EBB80-BD24-496B-BDDA-E35990A1D14F}"/>
    <cellStyle name="Įprastas 5 6 2 4 2 3_8 priedas" xfId="10268" xr:uid="{F318ECB3-878B-4B96-A362-8A99000EF43C}"/>
    <cellStyle name="Įprastas 5 6 2 4 2 4" xfId="7124" xr:uid="{81D7E4FA-87B2-4513-A2D2-03DB4D36FAB3}"/>
    <cellStyle name="Įprastas 5 6 2 4 2 5" xfId="3668" xr:uid="{51398577-593A-4247-8EA1-6B241AA91120}"/>
    <cellStyle name="Įprastas 5 6 2 4 2_8 priedas" xfId="10266" xr:uid="{7E9130B3-6AE7-4C5E-BC7E-1FD8CB2800F4}"/>
    <cellStyle name="Įprastas 5 6 2 4 3" xfId="2138" xr:uid="{308C7A65-6078-4F5D-9A3A-089FEC001184}"/>
    <cellStyle name="Įprastas 5 6 2 4 3 2" xfId="6055" xr:uid="{819DBDCD-4D8B-4EF6-8486-2925C4F19391}"/>
    <cellStyle name="Įprastas 5 6 2 4 3 3" xfId="7783" xr:uid="{2D71DF98-1A6E-4B49-8D91-96687FF4A10C}"/>
    <cellStyle name="Įprastas 5 6 2 4 3 4" xfId="4327" xr:uid="{92A4D9E0-9658-479A-AAE6-4801F23FD05A}"/>
    <cellStyle name="Įprastas 5 6 2 4 3_8 priedas" xfId="10269" xr:uid="{12D7C431-8CC7-4D67-AF7D-FD92DD0DFD3D}"/>
    <cellStyle name="Įprastas 5 6 2 4 4" xfId="2598" xr:uid="{FC002266-B008-470D-9975-5352BD0B43C4}"/>
    <cellStyle name="Įprastas 5 6 2 4 4 2" xfId="5191" xr:uid="{EF3C79F2-114D-4504-941A-2D786FBA2B43}"/>
    <cellStyle name="Įprastas 5 6 2 4 4_8 priedas" xfId="10270" xr:uid="{ED487B83-BDD4-43B3-B7DE-B4425825037A}"/>
    <cellStyle name="Įprastas 5 6 2 4 5" xfId="6919" xr:uid="{99606A66-C5B5-4ACF-9AAD-AC4FDEE74D07}"/>
    <cellStyle name="Įprastas 5 6 2 4 6" xfId="3463" xr:uid="{30A80453-D3EC-4B98-A7C5-17654AC9229A}"/>
    <cellStyle name="Įprastas 5 6 2 4_8 priedas" xfId="997" xr:uid="{00000000-0005-0000-0000-0000CD040000}"/>
    <cellStyle name="Įprastas 5 6 2 5" xfId="436" xr:uid="{00000000-0005-0000-0000-0000CE040000}"/>
    <cellStyle name="Įprastas 5 6 2 5 2" xfId="799" xr:uid="{00000000-0005-0000-0000-0000CF040000}"/>
    <cellStyle name="Įprastas 5 6 2 5 2 2" xfId="2139" xr:uid="{B5255A4E-E05E-4306-A645-BC792BB9D491}"/>
    <cellStyle name="Įprastas 5 6 2 5 2 2 2" xfId="6404" xr:uid="{289B505B-C1AE-4AF9-8421-4164CA4B7E23}"/>
    <cellStyle name="Įprastas 5 6 2 5 2 2 3" xfId="8132" xr:uid="{8DC54869-7DAE-4440-BB53-971BEC2C2E62}"/>
    <cellStyle name="Įprastas 5 6 2 5 2 2 4" xfId="4676" xr:uid="{859D8ED8-AA75-4017-8B8F-C864B8334280}"/>
    <cellStyle name="Įprastas 5 6 2 5 2 2_8 priedas" xfId="10272" xr:uid="{C4834C32-6AAC-43F2-89B4-6070337F0DE0}"/>
    <cellStyle name="Įprastas 5 6 2 5 2 3" xfId="2947" xr:uid="{FF40C561-76E4-4BAD-ACA4-A61B1774B5D8}"/>
    <cellStyle name="Įprastas 5 6 2 5 2 3 2" xfId="5540" xr:uid="{20FF015A-A1CA-48BA-B34E-319943951C62}"/>
    <cellStyle name="Įprastas 5 6 2 5 2 3_8 priedas" xfId="10273" xr:uid="{008D84FE-3A59-45D7-9AC8-8D114385256C}"/>
    <cellStyle name="Įprastas 5 6 2 5 2 4" xfId="7268" xr:uid="{4CA15D58-A6ED-43D3-B546-A1078BDB9372}"/>
    <cellStyle name="Įprastas 5 6 2 5 2 5" xfId="3812" xr:uid="{2EADBBFF-9BF5-4F9D-BF87-474C99DB9056}"/>
    <cellStyle name="Įprastas 5 6 2 5 2_8 priedas" xfId="10271" xr:uid="{C6CE117B-6BF1-4DDA-8F89-598CF638F7CE}"/>
    <cellStyle name="Įprastas 5 6 2 5 3" xfId="2140" xr:uid="{04836035-7297-4569-8960-9EF9472D6661}"/>
    <cellStyle name="Įprastas 5 6 2 5 3 2" xfId="6056" xr:uid="{2C3F7828-74B1-4AA3-86A7-0FEC14A96172}"/>
    <cellStyle name="Įprastas 5 6 2 5 3 3" xfId="7784" xr:uid="{B1033B85-9758-439D-9A6B-01D4F977228C}"/>
    <cellStyle name="Įprastas 5 6 2 5 3 4" xfId="4328" xr:uid="{9DB06E70-35E7-4B49-8D41-C07CEA85DF31}"/>
    <cellStyle name="Įprastas 5 6 2 5 3_8 priedas" xfId="10274" xr:uid="{AC21ACC2-FE40-4F17-AC77-58E2CC32B548}"/>
    <cellStyle name="Įprastas 5 6 2 5 4" xfId="2599" xr:uid="{8A72ED50-4D9C-486A-BFFB-57BE8832D7D2}"/>
    <cellStyle name="Įprastas 5 6 2 5 4 2" xfId="5192" xr:uid="{9E3B4423-9F60-4987-83FB-0FCFD4527CFC}"/>
    <cellStyle name="Įprastas 5 6 2 5 4_8 priedas" xfId="10275" xr:uid="{A416AD1E-2B52-4ADA-ABED-6B227BB011CB}"/>
    <cellStyle name="Įprastas 5 6 2 5 5" xfId="6920" xr:uid="{62577FCE-CE55-4384-B977-B7183D415DAE}"/>
    <cellStyle name="Įprastas 5 6 2 5 6" xfId="3464" xr:uid="{70C0452B-C087-4062-AAAF-57F455F688B9}"/>
    <cellStyle name="Įprastas 5 6 2 5_8 priedas" xfId="956" xr:uid="{00000000-0005-0000-0000-0000D0040000}"/>
    <cellStyle name="Įprastas 5 6 2 6" xfId="511" xr:uid="{00000000-0005-0000-0000-0000D1040000}"/>
    <cellStyle name="Įprastas 5 6 2 6 2" xfId="2141" xr:uid="{E28A46B6-996E-48F9-99C8-2B206FCA2989}"/>
    <cellStyle name="Įprastas 5 6 2 6 2 2" xfId="6116" xr:uid="{088E4DC0-DE4A-4332-AA54-A2511CA1C3FE}"/>
    <cellStyle name="Įprastas 5 6 2 6 2 3" xfId="7844" xr:uid="{212998DA-CAC4-4DA1-B041-FCB63152E4BC}"/>
    <cellStyle name="Įprastas 5 6 2 6 2 4" xfId="4388" xr:uid="{B33E3592-5011-4F99-ACE5-53D3C6A787F9}"/>
    <cellStyle name="Įprastas 5 6 2 6 2_8 priedas" xfId="10277" xr:uid="{23ACA395-93BA-4A7B-BEF1-6C59384E268B}"/>
    <cellStyle name="Įprastas 5 6 2 6 3" xfId="2659" xr:uid="{FEB50A27-50D5-4C2F-AB12-C0D8C558D12C}"/>
    <cellStyle name="Įprastas 5 6 2 6 3 2" xfId="5252" xr:uid="{0C68DA6C-BAA3-4189-A32C-15454BAC4FC8}"/>
    <cellStyle name="Įprastas 5 6 2 6 3_8 priedas" xfId="10278" xr:uid="{466269B1-8F6C-4227-B436-1E38B22A8C2A}"/>
    <cellStyle name="Įprastas 5 6 2 6 4" xfId="6980" xr:uid="{82AE45C2-1531-42A6-AEF7-D4757B3BB568}"/>
    <cellStyle name="Įprastas 5 6 2 6 5" xfId="3524" xr:uid="{C6E8E2D3-D9E8-4CBB-8692-B1781DE7E99C}"/>
    <cellStyle name="Įprastas 5 6 2 6_8 priedas" xfId="10276" xr:uid="{55B1409F-A30B-4347-971D-95B511B1707F}"/>
    <cellStyle name="Įprastas 5 6 2 7" xfId="2142" xr:uid="{07F8D05A-C280-4A02-BB6D-BFDEB9EF4629}"/>
    <cellStyle name="Įprastas 5 6 2 7 2" xfId="6048" xr:uid="{2A546618-ACFD-4AAE-AAC4-2F00959CCD01}"/>
    <cellStyle name="Įprastas 5 6 2 7 3" xfId="7776" xr:uid="{FF89DE85-304F-412F-B180-4735F0414BC2}"/>
    <cellStyle name="Įprastas 5 6 2 7 4" xfId="4320" xr:uid="{9C0C7117-A9E8-47DC-B980-ECAC3FBF0187}"/>
    <cellStyle name="Įprastas 5 6 2 7_8 priedas" xfId="10279" xr:uid="{214D4FB9-70DE-436F-883E-B40A432117D8}"/>
    <cellStyle name="Įprastas 5 6 2 8" xfId="2591" xr:uid="{C5BA5956-88B4-4609-801E-A286268E776D}"/>
    <cellStyle name="Įprastas 5 6 2 8 2" xfId="5184" xr:uid="{6E5AA344-19EF-47EB-97CA-059E755474DF}"/>
    <cellStyle name="Įprastas 5 6 2 8_8 priedas" xfId="10280" xr:uid="{8E06CB0C-4CF4-4496-A0AE-72DB4D560281}"/>
    <cellStyle name="Įprastas 5 6 2 9" xfId="6912" xr:uid="{C3815A58-88BB-4B7C-90BF-9F359B237AAC}"/>
    <cellStyle name="Įprastas 5 6 2_8 priedas" xfId="1227" xr:uid="{00000000-0005-0000-0000-0000D2040000}"/>
    <cellStyle name="Įprastas 5 6 3" xfId="437" xr:uid="{00000000-0005-0000-0000-0000D3040000}"/>
    <cellStyle name="Įprastas 5 6 3 2" xfId="438" xr:uid="{00000000-0005-0000-0000-0000D4040000}"/>
    <cellStyle name="Įprastas 5 6 3 2 2" xfId="679" xr:uid="{00000000-0005-0000-0000-0000D5040000}"/>
    <cellStyle name="Įprastas 5 6 3 2 2 2" xfId="2143" xr:uid="{0AD57038-EB1D-45B7-B86F-42BDA44BB726}"/>
    <cellStyle name="Įprastas 5 6 3 2 2 2 2" xfId="6284" xr:uid="{B3FBF51D-5767-489E-A26B-5B62427707CE}"/>
    <cellStyle name="Įprastas 5 6 3 2 2 2 3" xfId="8012" xr:uid="{806E9F9B-691E-4275-9555-C6855F08F18C}"/>
    <cellStyle name="Įprastas 5 6 3 2 2 2 4" xfId="4556" xr:uid="{0141B113-E4E8-4CF0-9ECE-02DDC9B6F7EE}"/>
    <cellStyle name="Įprastas 5 6 3 2 2 2_8 priedas" xfId="10282" xr:uid="{1DCF8B5F-2DC0-455F-8756-B4C2CA500919}"/>
    <cellStyle name="Įprastas 5 6 3 2 2 3" xfId="2827" xr:uid="{D1B3F79D-84AE-4397-B266-9E527E5E1566}"/>
    <cellStyle name="Įprastas 5 6 3 2 2 3 2" xfId="5420" xr:uid="{4574B8A9-4D3B-4A2E-A46F-D678B534A1EA}"/>
    <cellStyle name="Įprastas 5 6 3 2 2 3_8 priedas" xfId="10283" xr:uid="{EC73087B-F1EA-491F-A985-2ACE963C8A5A}"/>
    <cellStyle name="Įprastas 5 6 3 2 2 4" xfId="7148" xr:uid="{165FE931-1A4E-4FA9-A2FB-026C8FCA1681}"/>
    <cellStyle name="Įprastas 5 6 3 2 2 5" xfId="3692" xr:uid="{9D4DEA7C-D62A-458E-8C2A-D26FE1E9B1F7}"/>
    <cellStyle name="Įprastas 5 6 3 2 2_8 priedas" xfId="10281" xr:uid="{4F03046E-CC4C-4BAB-9135-3544E2BE86F2}"/>
    <cellStyle name="Įprastas 5 6 3 2 3" xfId="2144" xr:uid="{787C25B3-C380-430D-91A3-10569698E533}"/>
    <cellStyle name="Įprastas 5 6 3 2 3 2" xfId="6058" xr:uid="{167424DC-1FA2-4A5A-A650-2BB1FC22724F}"/>
    <cellStyle name="Įprastas 5 6 3 2 3 3" xfId="7786" xr:uid="{C80BC27F-038D-4294-AC15-EDB9F3DAB43C}"/>
    <cellStyle name="Įprastas 5 6 3 2 3 4" xfId="4330" xr:uid="{BDCF7C93-EB90-46CC-94AD-6E4648A5EA49}"/>
    <cellStyle name="Įprastas 5 6 3 2 3_8 priedas" xfId="10284" xr:uid="{B7683FC6-B7CB-4E9D-B316-D31301E798F3}"/>
    <cellStyle name="Įprastas 5 6 3 2 4" xfId="2601" xr:uid="{9F66A96E-433B-450B-998E-3E89ABF1ED64}"/>
    <cellStyle name="Įprastas 5 6 3 2 4 2" xfId="5194" xr:uid="{7FF14CC4-7060-4B7C-8C02-17635EC6EF22}"/>
    <cellStyle name="Įprastas 5 6 3 2 4_8 priedas" xfId="10285" xr:uid="{016A15DB-C033-413C-8F86-9BD1C38EC633}"/>
    <cellStyle name="Įprastas 5 6 3 2 5" xfId="6922" xr:uid="{39A50815-6A40-4F95-94A7-95464EB30AA0}"/>
    <cellStyle name="Įprastas 5 6 3 2 6" xfId="3466" xr:uid="{E390DDF6-27D5-479A-B7A3-64AA27D575CC}"/>
    <cellStyle name="Įprastas 5 6 3 2_8 priedas" xfId="936" xr:uid="{00000000-0005-0000-0000-0000D6040000}"/>
    <cellStyle name="Įprastas 5 6 3 3" xfId="439" xr:uid="{00000000-0005-0000-0000-0000D7040000}"/>
    <cellStyle name="Įprastas 5 6 3 3 2" xfId="823" xr:uid="{00000000-0005-0000-0000-0000D8040000}"/>
    <cellStyle name="Įprastas 5 6 3 3 2 2" xfId="2145" xr:uid="{12508957-C8D4-41B3-BDC8-295FD56D8C9C}"/>
    <cellStyle name="Įprastas 5 6 3 3 2 2 2" xfId="6428" xr:uid="{426623C4-EA0D-4B91-A448-781D7228855B}"/>
    <cellStyle name="Įprastas 5 6 3 3 2 2 3" xfId="8156" xr:uid="{3E50A9E9-ECA5-4008-91A7-BBA905A709C7}"/>
    <cellStyle name="Įprastas 5 6 3 3 2 2 4" xfId="4700" xr:uid="{4DC4AF26-031B-4111-8E4B-AED1615BEF94}"/>
    <cellStyle name="Įprastas 5 6 3 3 2 2_8 priedas" xfId="10287" xr:uid="{CBB50A44-1E94-4684-A17C-765EC0B63E00}"/>
    <cellStyle name="Įprastas 5 6 3 3 2 3" xfId="2971" xr:uid="{AF5996F8-2095-4FEB-99BF-8B6CD986A4E5}"/>
    <cellStyle name="Įprastas 5 6 3 3 2 3 2" xfId="5564" xr:uid="{A1987361-18AA-48A9-95FF-8C1E07D2F32C}"/>
    <cellStyle name="Įprastas 5 6 3 3 2 3_8 priedas" xfId="10288" xr:uid="{42CFB929-620E-4CD2-9E4F-77219D46C86E}"/>
    <cellStyle name="Įprastas 5 6 3 3 2 4" xfId="7292" xr:uid="{7565992C-FE7C-41D4-87C4-34E0831CA46E}"/>
    <cellStyle name="Įprastas 5 6 3 3 2 5" xfId="3836" xr:uid="{92BE3D07-3EF1-427B-8E76-B55347A82ABF}"/>
    <cellStyle name="Įprastas 5 6 3 3 2_8 priedas" xfId="10286" xr:uid="{C19B04E0-D708-4AD1-BD80-44723D1FC1FC}"/>
    <cellStyle name="Įprastas 5 6 3 3 3" xfId="2146" xr:uid="{6354A418-1EC0-460C-BE23-18F2464FEB4B}"/>
    <cellStyle name="Įprastas 5 6 3 3 3 2" xfId="6059" xr:uid="{1AB4ADB2-C52B-417D-B73E-1482FEA79D1E}"/>
    <cellStyle name="Įprastas 5 6 3 3 3 3" xfId="7787" xr:uid="{D48CE5F8-A066-4E06-A53A-A42D3503AA96}"/>
    <cellStyle name="Įprastas 5 6 3 3 3 4" xfId="4331" xr:uid="{C1E8DD5D-4DD7-4F52-8E94-2CDA7A921B43}"/>
    <cellStyle name="Įprastas 5 6 3 3 3_8 priedas" xfId="10289" xr:uid="{7A19AD32-D4EB-4709-AC70-87456776E94C}"/>
    <cellStyle name="Įprastas 5 6 3 3 4" xfId="2602" xr:uid="{9032A7A2-E64C-485B-93EC-26E4012C7D8E}"/>
    <cellStyle name="Įprastas 5 6 3 3 4 2" xfId="5195" xr:uid="{66EEBA12-333C-4E9B-9164-30E392E8A3FA}"/>
    <cellStyle name="Įprastas 5 6 3 3 4_8 priedas" xfId="10290" xr:uid="{4FD03C76-BD37-4DBD-873A-5F8B9C9C73C4}"/>
    <cellStyle name="Įprastas 5 6 3 3 5" xfId="6923" xr:uid="{F9CB6A15-39CF-442C-8BA4-C9136DD5767A}"/>
    <cellStyle name="Įprastas 5 6 3 3 6" xfId="3467" xr:uid="{7018A493-AB23-4864-A966-9C1AA3F1B7C4}"/>
    <cellStyle name="Įprastas 5 6 3 3_8 priedas" xfId="1198" xr:uid="{00000000-0005-0000-0000-0000D9040000}"/>
    <cellStyle name="Įprastas 5 6 3 4" xfId="535" xr:uid="{00000000-0005-0000-0000-0000DA040000}"/>
    <cellStyle name="Įprastas 5 6 3 4 2" xfId="2147" xr:uid="{5C1F7903-A397-4133-84AA-B1C7BD654474}"/>
    <cellStyle name="Įprastas 5 6 3 4 2 2" xfId="6140" xr:uid="{B678C0FF-9204-4A5B-AC00-06725A9C448F}"/>
    <cellStyle name="Įprastas 5 6 3 4 2 3" xfId="7868" xr:uid="{B7EFCE2A-71D0-4D3D-8603-240C37B66A8D}"/>
    <cellStyle name="Įprastas 5 6 3 4 2 4" xfId="4412" xr:uid="{D5F557F1-0242-46D1-B344-49D732B0CBC2}"/>
    <cellStyle name="Įprastas 5 6 3 4 2_8 priedas" xfId="10292" xr:uid="{527C7736-792D-4C5D-8855-F80FE829F062}"/>
    <cellStyle name="Įprastas 5 6 3 4 3" xfId="2683" xr:uid="{F4C02602-8079-46A0-958C-685AB95E59C3}"/>
    <cellStyle name="Įprastas 5 6 3 4 3 2" xfId="5276" xr:uid="{C3ACB036-A9FA-499B-8EAB-A045CAB87921}"/>
    <cellStyle name="Įprastas 5 6 3 4 3_8 priedas" xfId="10293" xr:uid="{4C379897-618D-4598-9B73-959752C3159B}"/>
    <cellStyle name="Įprastas 5 6 3 4 4" xfId="7004" xr:uid="{ECBDD169-6123-453C-B0C9-C2F17B943C8C}"/>
    <cellStyle name="Įprastas 5 6 3 4 5" xfId="3548" xr:uid="{2BB3CAFE-6B93-4328-BA11-FD11362CC3C9}"/>
    <cellStyle name="Įprastas 5 6 3 4_8 priedas" xfId="10291" xr:uid="{D0598684-17C3-412D-B160-0AAB4DBF39B0}"/>
    <cellStyle name="Įprastas 5 6 3 5" xfId="2148" xr:uid="{ACAFF851-0131-4BE6-B478-5C2DB4FC273F}"/>
    <cellStyle name="Įprastas 5 6 3 5 2" xfId="6057" xr:uid="{044B4A59-55C7-4060-BAF9-C5CFF01C238B}"/>
    <cellStyle name="Įprastas 5 6 3 5 3" xfId="7785" xr:uid="{87522AEC-A4DC-4CC6-BB2C-D5289F5095C9}"/>
    <cellStyle name="Įprastas 5 6 3 5 4" xfId="4329" xr:uid="{3D6710B6-87D5-4F7F-89EF-F5B4737FDFA9}"/>
    <cellStyle name="Įprastas 5 6 3 5_8 priedas" xfId="10294" xr:uid="{0F9904BF-3199-47EA-AAC8-D008001E8F5D}"/>
    <cellStyle name="Įprastas 5 6 3 6" xfId="2600" xr:uid="{24DC4009-F17B-40CF-9230-99120447D7D2}"/>
    <cellStyle name="Įprastas 5 6 3 6 2" xfId="5193" xr:uid="{D0C930F3-37DA-4C89-B09F-D9F7073AF693}"/>
    <cellStyle name="Įprastas 5 6 3 6_8 priedas" xfId="10295" xr:uid="{81EABA1D-38FD-42B5-9B22-7D7D202BC33E}"/>
    <cellStyle name="Įprastas 5 6 3 7" xfId="6921" xr:uid="{73A3FC7E-173F-4300-948D-8596BD983785}"/>
    <cellStyle name="Įprastas 5 6 3 8" xfId="3465" xr:uid="{BD950B26-0875-40D8-A9E6-2E12E7939049}"/>
    <cellStyle name="Įprastas 5 6 3_8 priedas" xfId="927" xr:uid="{00000000-0005-0000-0000-0000DB040000}"/>
    <cellStyle name="Įprastas 5 6 4" xfId="440" xr:uid="{00000000-0005-0000-0000-0000DC040000}"/>
    <cellStyle name="Įprastas 5 6 4 2" xfId="441" xr:uid="{00000000-0005-0000-0000-0000DD040000}"/>
    <cellStyle name="Įprastas 5 6 4 2 2" xfId="727" xr:uid="{00000000-0005-0000-0000-0000DE040000}"/>
    <cellStyle name="Įprastas 5 6 4 2 2 2" xfId="2149" xr:uid="{51D549FC-A9C6-4AE6-8CF4-159A2BAECB22}"/>
    <cellStyle name="Įprastas 5 6 4 2 2 2 2" xfId="6332" xr:uid="{45903D1D-F128-4A83-AD61-868F39454B29}"/>
    <cellStyle name="Įprastas 5 6 4 2 2 2 3" xfId="8060" xr:uid="{16FF9D06-AA1B-43F7-A754-748CDA93FCE0}"/>
    <cellStyle name="Įprastas 5 6 4 2 2 2 4" xfId="4604" xr:uid="{749CA8D8-7AD1-44A5-952D-3709BC046871}"/>
    <cellStyle name="Įprastas 5 6 4 2 2 2_8 priedas" xfId="10297" xr:uid="{42CD50A1-E587-4982-B016-CF081E745C6F}"/>
    <cellStyle name="Įprastas 5 6 4 2 2 3" xfId="2875" xr:uid="{F53D72B3-BDE4-4AC3-B885-780EED7B231F}"/>
    <cellStyle name="Įprastas 5 6 4 2 2 3 2" xfId="5468" xr:uid="{86FEA73C-B86C-4762-8570-EF89FFFB58C0}"/>
    <cellStyle name="Įprastas 5 6 4 2 2 3_8 priedas" xfId="10298" xr:uid="{D358C8D6-7167-4A19-9C82-86D0C10A52B0}"/>
    <cellStyle name="Įprastas 5 6 4 2 2 4" xfId="7196" xr:uid="{7F9F638E-6D60-4863-8B62-4B3814C652A3}"/>
    <cellStyle name="Įprastas 5 6 4 2 2 5" xfId="3740" xr:uid="{FD4ED440-B90C-4A81-AE1B-FCEB3EBFD876}"/>
    <cellStyle name="Įprastas 5 6 4 2 2_8 priedas" xfId="10296" xr:uid="{CAF4DAB8-80E8-4412-A33F-FFBCE42F49FF}"/>
    <cellStyle name="Įprastas 5 6 4 2 3" xfId="2150" xr:uid="{86E7FA30-FA06-4D78-AF55-B54F443778BD}"/>
    <cellStyle name="Įprastas 5 6 4 2 3 2" xfId="6061" xr:uid="{4CECAF83-0C36-438C-8E63-2EF59CADC4FA}"/>
    <cellStyle name="Įprastas 5 6 4 2 3 3" xfId="7789" xr:uid="{1DB0E16B-C5BC-4DB4-80EC-E70A0419BF62}"/>
    <cellStyle name="Įprastas 5 6 4 2 3 4" xfId="4333" xr:uid="{FA7DFD7A-59D4-4656-B7DC-E63591E31EEA}"/>
    <cellStyle name="Įprastas 5 6 4 2 3_8 priedas" xfId="10299" xr:uid="{013EFF18-8D4D-4B92-BEA8-506ED7433276}"/>
    <cellStyle name="Įprastas 5 6 4 2 4" xfId="2604" xr:uid="{22C08CFB-1828-45B8-8D81-1460EF63C4D3}"/>
    <cellStyle name="Įprastas 5 6 4 2 4 2" xfId="5197" xr:uid="{24A12E1B-092C-452F-800A-984A5FAE4ABF}"/>
    <cellStyle name="Įprastas 5 6 4 2 4_8 priedas" xfId="10300" xr:uid="{38D5AE73-295A-467D-9283-8587AD7B08F5}"/>
    <cellStyle name="Įprastas 5 6 4 2 5" xfId="6925" xr:uid="{52D47BB4-BA1C-4B7F-A4CE-281FF8086CC1}"/>
    <cellStyle name="Įprastas 5 6 4 2 6" xfId="3469" xr:uid="{0110383B-8506-4BC9-996C-724014CE69E9}"/>
    <cellStyle name="Įprastas 5 6 4 2_8 priedas" xfId="1289" xr:uid="{00000000-0005-0000-0000-0000DF040000}"/>
    <cellStyle name="Įprastas 5 6 4 3" xfId="442" xr:uid="{00000000-0005-0000-0000-0000E0040000}"/>
    <cellStyle name="Įprastas 5 6 4 3 2" xfId="871" xr:uid="{00000000-0005-0000-0000-0000E1040000}"/>
    <cellStyle name="Įprastas 5 6 4 3 2 2" xfId="2151" xr:uid="{9EE8E40B-21A7-41BB-8D4C-367BD5FBEBD0}"/>
    <cellStyle name="Įprastas 5 6 4 3 2 2 2" xfId="6476" xr:uid="{FCB32378-E67C-4A28-B7C2-31C159141B5C}"/>
    <cellStyle name="Įprastas 5 6 4 3 2 2 3" xfId="8204" xr:uid="{D220B307-807A-4A0F-B9B9-3B310E09701B}"/>
    <cellStyle name="Įprastas 5 6 4 3 2 2 4" xfId="4748" xr:uid="{57FAA066-B5B5-4C3D-AE58-BFDBFC598E2F}"/>
    <cellStyle name="Įprastas 5 6 4 3 2 2_8 priedas" xfId="10302" xr:uid="{AFFEF37D-D472-4334-A2B0-27EEBC58E4F9}"/>
    <cellStyle name="Įprastas 5 6 4 3 2 3" xfId="3019" xr:uid="{0FF2C654-F921-4443-819E-D7885C3833AC}"/>
    <cellStyle name="Įprastas 5 6 4 3 2 3 2" xfId="5612" xr:uid="{44B855EE-6790-4701-AEEB-2725412DA8FB}"/>
    <cellStyle name="Įprastas 5 6 4 3 2 3_8 priedas" xfId="10303" xr:uid="{E6D6075A-156B-4EA5-865C-E30020CC4005}"/>
    <cellStyle name="Įprastas 5 6 4 3 2 4" xfId="7340" xr:uid="{D2D40E86-DF15-4224-A9F1-7E6FAC341BCD}"/>
    <cellStyle name="Įprastas 5 6 4 3 2 5" xfId="3884" xr:uid="{B14687E1-31D5-40DD-8B5F-EABFA2686CC5}"/>
    <cellStyle name="Įprastas 5 6 4 3 2_8 priedas" xfId="10301" xr:uid="{6198BE6C-C8DF-482E-B91D-9C0EC5254416}"/>
    <cellStyle name="Įprastas 5 6 4 3 3" xfId="2152" xr:uid="{B26742F0-57EB-48C8-944C-7989D39B6813}"/>
    <cellStyle name="Įprastas 5 6 4 3 3 2" xfId="6062" xr:uid="{D18063B8-4EDF-4162-ADC0-A8FB7223B60F}"/>
    <cellStyle name="Įprastas 5 6 4 3 3 3" xfId="7790" xr:uid="{B13DC8F0-EE23-4E83-931C-B3319BAAD389}"/>
    <cellStyle name="Įprastas 5 6 4 3 3 4" xfId="4334" xr:uid="{1B5C10DE-EA6D-42B9-AFB4-2C3EA8F03B88}"/>
    <cellStyle name="Įprastas 5 6 4 3 3_8 priedas" xfId="10304" xr:uid="{AFB49BC5-15CC-48D7-9B88-531AD03818F7}"/>
    <cellStyle name="Įprastas 5 6 4 3 4" xfId="2605" xr:uid="{12E4A9C9-9D3C-49D4-AA7F-BECE7CB2A4FE}"/>
    <cellStyle name="Įprastas 5 6 4 3 4 2" xfId="5198" xr:uid="{F331C404-C97A-499D-A514-84A2433FE4D9}"/>
    <cellStyle name="Įprastas 5 6 4 3 4_8 priedas" xfId="10305" xr:uid="{9133E303-50DD-4018-9AD1-3AAE223626D2}"/>
    <cellStyle name="Įprastas 5 6 4 3 5" xfId="6926" xr:uid="{A8792234-2F05-4F6D-8EB1-70C331DA7AB1}"/>
    <cellStyle name="Įprastas 5 6 4 3 6" xfId="3470" xr:uid="{8D811622-5AA4-4AB7-91A5-BF44DA57B155}"/>
    <cellStyle name="Įprastas 5 6 4 3_8 priedas" xfId="1152" xr:uid="{00000000-0005-0000-0000-0000E2040000}"/>
    <cellStyle name="Įprastas 5 6 4 4" xfId="583" xr:uid="{00000000-0005-0000-0000-0000E3040000}"/>
    <cellStyle name="Įprastas 5 6 4 4 2" xfId="2153" xr:uid="{2C5A34E4-406F-464C-9288-44BDB21093D2}"/>
    <cellStyle name="Įprastas 5 6 4 4 2 2" xfId="6188" xr:uid="{DA5A3726-CE7C-4F20-BB2A-85E04CAAEF87}"/>
    <cellStyle name="Įprastas 5 6 4 4 2 3" xfId="7916" xr:uid="{ED161A5E-B639-4408-8F49-6D0595BAE2DC}"/>
    <cellStyle name="Įprastas 5 6 4 4 2 4" xfId="4460" xr:uid="{A6B48256-89E4-4D2C-9378-50C10DB43765}"/>
    <cellStyle name="Įprastas 5 6 4 4 2_8 priedas" xfId="10307" xr:uid="{FE24DD0A-5C32-4217-B994-9C65726565E9}"/>
    <cellStyle name="Įprastas 5 6 4 4 3" xfId="2731" xr:uid="{61FEA9A5-9F4D-4675-900B-DD5C380162EA}"/>
    <cellStyle name="Įprastas 5 6 4 4 3 2" xfId="5324" xr:uid="{20A60E84-832E-426A-BFD1-978A1CCFBB99}"/>
    <cellStyle name="Įprastas 5 6 4 4 3_8 priedas" xfId="10308" xr:uid="{E15F2559-BCF2-4172-9706-AD0F5ADCBA38}"/>
    <cellStyle name="Įprastas 5 6 4 4 4" xfId="7052" xr:uid="{6D418736-36F7-4D33-8293-35D03509DFA5}"/>
    <cellStyle name="Įprastas 5 6 4 4 5" xfId="3596" xr:uid="{E80501A6-6FFD-4A38-B07F-C2DF79A16500}"/>
    <cellStyle name="Įprastas 5 6 4 4_8 priedas" xfId="10306" xr:uid="{353202F8-BE9E-41DF-A4C6-A92947599745}"/>
    <cellStyle name="Įprastas 5 6 4 5" xfId="2154" xr:uid="{C722A2C1-18C8-42CE-9BF3-F8A29C865363}"/>
    <cellStyle name="Įprastas 5 6 4 5 2" xfId="6060" xr:uid="{571935C5-43EB-4B5A-A7BD-525AC777F686}"/>
    <cellStyle name="Įprastas 5 6 4 5 3" xfId="7788" xr:uid="{90D00456-7F1A-4609-A423-C7943BF0FBD3}"/>
    <cellStyle name="Įprastas 5 6 4 5 4" xfId="4332" xr:uid="{854162AD-21A6-4F82-A661-1B4C67B3DCA2}"/>
    <cellStyle name="Įprastas 5 6 4 5_8 priedas" xfId="10309" xr:uid="{844C1A4F-BE50-4586-A5E4-CEDDE8B9AFC9}"/>
    <cellStyle name="Įprastas 5 6 4 6" xfId="2603" xr:uid="{D3F653D3-C5DA-44F1-B150-3A8BE6B2E88E}"/>
    <cellStyle name="Įprastas 5 6 4 6 2" xfId="5196" xr:uid="{2C03836E-64A1-4015-B298-FBFE10626A68}"/>
    <cellStyle name="Įprastas 5 6 4 6_8 priedas" xfId="10310" xr:uid="{20FD0C4A-7D98-4AF6-9B98-DB12D339F741}"/>
    <cellStyle name="Įprastas 5 6 4 7" xfId="6924" xr:uid="{5134334E-CF25-4C75-A4B5-1E2A96C51741}"/>
    <cellStyle name="Įprastas 5 6 4 8" xfId="3468" xr:uid="{65B685C5-1AC8-499E-B323-60A77C44101D}"/>
    <cellStyle name="Įprastas 5 6 4_8 priedas" xfId="1064" xr:uid="{00000000-0005-0000-0000-0000E4040000}"/>
    <cellStyle name="Įprastas 5 6 5" xfId="443" xr:uid="{00000000-0005-0000-0000-0000E5040000}"/>
    <cellStyle name="Įprastas 5 6 5 2" xfId="631" xr:uid="{00000000-0005-0000-0000-0000E6040000}"/>
    <cellStyle name="Įprastas 5 6 5 2 2" xfId="2155" xr:uid="{CE13BE57-E7AB-4C0B-A15F-40E5868DA247}"/>
    <cellStyle name="Įprastas 5 6 5 2 2 2" xfId="6236" xr:uid="{968171AE-0328-4BD7-8C16-E18E7CE17346}"/>
    <cellStyle name="Įprastas 5 6 5 2 2 3" xfId="7964" xr:uid="{1177F53B-8071-43FC-ADD0-77D0486946D1}"/>
    <cellStyle name="Įprastas 5 6 5 2 2 4" xfId="4508" xr:uid="{34A1568F-7E89-4732-AD34-E797AC84475F}"/>
    <cellStyle name="Įprastas 5 6 5 2 2_8 priedas" xfId="10312" xr:uid="{FF2575A5-6BBD-4115-A4CA-7B4DA826893B}"/>
    <cellStyle name="Įprastas 5 6 5 2 3" xfId="2779" xr:uid="{8772556E-87C3-40EF-9824-174DE8B87056}"/>
    <cellStyle name="Įprastas 5 6 5 2 3 2" xfId="5372" xr:uid="{AB3F0CFB-8E52-4025-9DC1-93F1E8738580}"/>
    <cellStyle name="Įprastas 5 6 5 2 3_8 priedas" xfId="10313" xr:uid="{A102580C-C2A1-49D9-A858-A87270B897C2}"/>
    <cellStyle name="Įprastas 5 6 5 2 4" xfId="7100" xr:uid="{F19DCF9E-1FFE-4199-999D-2C5862976A49}"/>
    <cellStyle name="Įprastas 5 6 5 2 5" xfId="3644" xr:uid="{548DE02C-5BD0-47D4-91F7-E9480B97BBFA}"/>
    <cellStyle name="Įprastas 5 6 5 2_8 priedas" xfId="10311" xr:uid="{AE9ECD33-164A-4066-912B-C5487F389AED}"/>
    <cellStyle name="Įprastas 5 6 5 3" xfId="2156" xr:uid="{0EA5E4D1-C7B0-415D-8FD5-BE5AF9AAECAB}"/>
    <cellStyle name="Įprastas 5 6 5 3 2" xfId="6063" xr:uid="{BE0C18D6-5E93-42F1-A3E3-78098CFBBCE4}"/>
    <cellStyle name="Įprastas 5 6 5 3 3" xfId="7791" xr:uid="{A12A2658-3228-4DE5-BDA8-741497FFDE46}"/>
    <cellStyle name="Įprastas 5 6 5 3 4" xfId="4335" xr:uid="{F4D61E03-3084-48EB-B24B-900AC33D86F9}"/>
    <cellStyle name="Įprastas 5 6 5 3_8 priedas" xfId="10314" xr:uid="{4AEF31F5-D7E5-41F6-99F4-28F586384E9F}"/>
    <cellStyle name="Įprastas 5 6 5 4" xfId="2606" xr:uid="{EAE77EF0-A8D2-471D-B8D6-6AC739EC5697}"/>
    <cellStyle name="Įprastas 5 6 5 4 2" xfId="5199" xr:uid="{BF84B1C3-6255-48DC-BB12-90A94219BA35}"/>
    <cellStyle name="Įprastas 5 6 5 4_8 priedas" xfId="10315" xr:uid="{650E7F2B-1CD9-47D8-B470-603A186FAAD5}"/>
    <cellStyle name="Įprastas 5 6 5 5" xfId="6927" xr:uid="{FDC35E34-FA36-4EE5-B296-11510CA55889}"/>
    <cellStyle name="Įprastas 5 6 5 6" xfId="3471" xr:uid="{B7EBA96B-1F66-458B-8926-39C687CE40B7}"/>
    <cellStyle name="Įprastas 5 6 5_8 priedas" xfId="1017" xr:uid="{00000000-0005-0000-0000-0000E7040000}"/>
    <cellStyle name="Įprastas 5 6 6" xfId="444" xr:uid="{00000000-0005-0000-0000-0000E8040000}"/>
    <cellStyle name="Įprastas 5 6 6 2" xfId="775" xr:uid="{00000000-0005-0000-0000-0000E9040000}"/>
    <cellStyle name="Įprastas 5 6 6 2 2" xfId="2157" xr:uid="{E372D98E-9F14-42F7-ABB4-1B60C296F7C6}"/>
    <cellStyle name="Įprastas 5 6 6 2 2 2" xfId="6380" xr:uid="{B052921D-538E-4685-B9F1-300C62033854}"/>
    <cellStyle name="Įprastas 5 6 6 2 2 3" xfId="8108" xr:uid="{8FBA3579-CF14-4FF6-9B94-9120DAF85F88}"/>
    <cellStyle name="Įprastas 5 6 6 2 2 4" xfId="4652" xr:uid="{53467AB3-663D-4998-AC70-7D6DFAFDE6B2}"/>
    <cellStyle name="Įprastas 5 6 6 2 2_8 priedas" xfId="10317" xr:uid="{92AB3665-B9B5-4530-BCBF-7C65107D1265}"/>
    <cellStyle name="Įprastas 5 6 6 2 3" xfId="2923" xr:uid="{07B28767-EF19-4AE9-AD03-D66C993A032D}"/>
    <cellStyle name="Įprastas 5 6 6 2 3 2" xfId="5516" xr:uid="{37F9D1F3-8BD2-491B-BF08-1C82E22BD051}"/>
    <cellStyle name="Įprastas 5 6 6 2 3_8 priedas" xfId="10318" xr:uid="{C013E23A-2D00-45A4-BB9D-B00B742BAC60}"/>
    <cellStyle name="Įprastas 5 6 6 2 4" xfId="7244" xr:uid="{80A8B39D-74AE-4DBE-9C87-E9B4C8EFC7DB}"/>
    <cellStyle name="Įprastas 5 6 6 2 5" xfId="3788" xr:uid="{BD65BCEE-E232-46E0-BBAD-B023D8C75896}"/>
    <cellStyle name="Įprastas 5 6 6 2_8 priedas" xfId="10316" xr:uid="{4BCD6B09-B062-4BB5-B133-F17F3743CF75}"/>
    <cellStyle name="Įprastas 5 6 6 3" xfId="2158" xr:uid="{36F08483-62D9-4AF5-8C69-F2BF459FC630}"/>
    <cellStyle name="Įprastas 5 6 6 3 2" xfId="6064" xr:uid="{CA0CEC70-DECC-4EB6-9B7A-0F95008CF061}"/>
    <cellStyle name="Įprastas 5 6 6 3 3" xfId="7792" xr:uid="{AD8553F5-29FB-47E7-A929-74C214B7063F}"/>
    <cellStyle name="Įprastas 5 6 6 3 4" xfId="4336" xr:uid="{A67EEFEC-5BAB-408A-A9E6-9B553584BA69}"/>
    <cellStyle name="Įprastas 5 6 6 3_8 priedas" xfId="10319" xr:uid="{345E1AE3-9884-4D8B-A59E-B61C36DDE442}"/>
    <cellStyle name="Įprastas 5 6 6 4" xfId="2607" xr:uid="{DA483FA0-C8FF-424A-BB26-65E5C58567D3}"/>
    <cellStyle name="Įprastas 5 6 6 4 2" xfId="5200" xr:uid="{21012D91-61E5-4806-8139-B70EE333F2DD}"/>
    <cellStyle name="Įprastas 5 6 6 4_8 priedas" xfId="10320" xr:uid="{530A6F8C-1728-4100-86EA-BCE2DF955D2B}"/>
    <cellStyle name="Įprastas 5 6 6 5" xfId="6928" xr:uid="{4C5E95E3-907C-4198-8264-85934CA26556}"/>
    <cellStyle name="Įprastas 5 6 6 6" xfId="3472" xr:uid="{4722EEC5-37A9-4527-8C0D-1140DCF3FE61}"/>
    <cellStyle name="Įprastas 5 6 6_8 priedas" xfId="1242" xr:uid="{00000000-0005-0000-0000-0000EA040000}"/>
    <cellStyle name="Įprastas 5 6 7" xfId="487" xr:uid="{00000000-0005-0000-0000-0000EB040000}"/>
    <cellStyle name="Įprastas 5 6 7 2" xfId="2159" xr:uid="{FA132B1F-BBBA-4F69-B2F7-90513548E7EF}"/>
    <cellStyle name="Įprastas 5 6 7 2 2" xfId="6092" xr:uid="{A0D7EE21-CCF4-48B3-BACA-07B11506DF80}"/>
    <cellStyle name="Įprastas 5 6 7 2 3" xfId="7820" xr:uid="{614BF86F-0DA8-49D6-82EA-12728E25862F}"/>
    <cellStyle name="Įprastas 5 6 7 2 4" xfId="4364" xr:uid="{BF9D765C-4F08-4850-85AD-F22169B107E1}"/>
    <cellStyle name="Įprastas 5 6 7 2_8 priedas" xfId="10322" xr:uid="{8316B86B-46C7-4658-9B14-16A57459DC34}"/>
    <cellStyle name="Įprastas 5 6 7 3" xfId="2635" xr:uid="{37FB3536-D66F-4DC8-9329-5A3493D3F185}"/>
    <cellStyle name="Įprastas 5 6 7 3 2" xfId="5228" xr:uid="{DE4098ED-12EF-4B82-A271-7698A783ECAB}"/>
    <cellStyle name="Įprastas 5 6 7 3_8 priedas" xfId="10323" xr:uid="{10494046-7A0C-4897-9BE7-90DC304622A8}"/>
    <cellStyle name="Įprastas 5 6 7 4" xfId="6956" xr:uid="{9D6D394A-0D20-45C6-8E05-6C902154E484}"/>
    <cellStyle name="Įprastas 5 6 7 5" xfId="3500" xr:uid="{99A111C9-91C4-4384-BA62-29761CFA9397}"/>
    <cellStyle name="Įprastas 5 6 7_8 priedas" xfId="10321" xr:uid="{63B03B2A-FBE2-4A1E-9F27-BA6B9F777F25}"/>
    <cellStyle name="Įprastas 5 6 8" xfId="2160" xr:uid="{790920B7-D120-42BC-975D-224E266E22F3}"/>
    <cellStyle name="Įprastas 5 6 8 2" xfId="6047" xr:uid="{26D9F5BC-BE92-4856-A800-4A39ED4F54F4}"/>
    <cellStyle name="Įprastas 5 6 8 3" xfId="7775" xr:uid="{D3D2C305-436E-4615-867C-197AAA546183}"/>
    <cellStyle name="Įprastas 5 6 8 4" xfId="4319" xr:uid="{B284DB5E-D9E5-4861-9F7F-9069B90DD7B3}"/>
    <cellStyle name="Įprastas 5 6 8_8 priedas" xfId="10324" xr:uid="{F22D6A49-2E82-455D-8B6A-CAFFFBC3B4F9}"/>
    <cellStyle name="Įprastas 5 6 9" xfId="2590" xr:uid="{DA4452FE-5E13-44D6-BF6F-F6B83241DB0D}"/>
    <cellStyle name="Įprastas 5 6 9 2" xfId="5183" xr:uid="{3B6EAE81-1046-4E42-BB5B-25B41EB37C1B}"/>
    <cellStyle name="Įprastas 5 6 9_8 priedas" xfId="10325" xr:uid="{726BF176-9F4B-42D8-A907-0D6D95709AA3}"/>
    <cellStyle name="Įprastas 5 6_8 priedas" xfId="981" xr:uid="{00000000-0005-0000-0000-0000EC040000}"/>
    <cellStyle name="Įprastas 5 7" xfId="445" xr:uid="{00000000-0005-0000-0000-0000ED040000}"/>
    <cellStyle name="Įprastas 5 7 10" xfId="3473" xr:uid="{021D0098-4E5A-47D1-AA8F-471BD21C613F}"/>
    <cellStyle name="Įprastas 5 7 2" xfId="446" xr:uid="{00000000-0005-0000-0000-0000EE040000}"/>
    <cellStyle name="Įprastas 5 7 2 2" xfId="447" xr:uid="{00000000-0005-0000-0000-0000EF040000}"/>
    <cellStyle name="Įprastas 5 7 2 2 2" xfId="691" xr:uid="{00000000-0005-0000-0000-0000F0040000}"/>
    <cellStyle name="Įprastas 5 7 2 2 2 2" xfId="2161" xr:uid="{AA267D92-0E9F-460E-9603-7C7F3EC33C1F}"/>
    <cellStyle name="Įprastas 5 7 2 2 2 2 2" xfId="6296" xr:uid="{6330AC7D-F074-4CA7-9A25-96C4FD4CC777}"/>
    <cellStyle name="Įprastas 5 7 2 2 2 2 3" xfId="8024" xr:uid="{32F28AF2-04EA-40A8-9966-4BEE7F17DFA5}"/>
    <cellStyle name="Įprastas 5 7 2 2 2 2 4" xfId="4568" xr:uid="{B06ADB8D-4656-4E40-A096-B148822660FA}"/>
    <cellStyle name="Įprastas 5 7 2 2 2 2_8 priedas" xfId="10327" xr:uid="{5411A082-4703-4807-945C-36432AE8E23A}"/>
    <cellStyle name="Įprastas 5 7 2 2 2 3" xfId="2839" xr:uid="{94B4BB9A-B49E-42D5-9E77-97DD4526644F}"/>
    <cellStyle name="Įprastas 5 7 2 2 2 3 2" xfId="5432" xr:uid="{72E8C9BE-D3BF-4B02-B336-A6425635A846}"/>
    <cellStyle name="Įprastas 5 7 2 2 2 3_8 priedas" xfId="10328" xr:uid="{5F3AFDB2-4FE0-482C-A766-0D354EFC985F}"/>
    <cellStyle name="Įprastas 5 7 2 2 2 4" xfId="7160" xr:uid="{F7BE1050-73E5-49E2-9D31-43472E7D044A}"/>
    <cellStyle name="Įprastas 5 7 2 2 2 5" xfId="3704" xr:uid="{B18D63AF-B720-4905-9F21-1DB56A45B880}"/>
    <cellStyle name="Įprastas 5 7 2 2 2_8 priedas" xfId="10326" xr:uid="{FCE22531-8545-4AD5-A8BE-2AE4DDD70449}"/>
    <cellStyle name="Įprastas 5 7 2 2 3" xfId="2162" xr:uid="{BFD26E20-75DB-48A5-A244-F8BF94679A90}"/>
    <cellStyle name="Įprastas 5 7 2 2 3 2" xfId="6067" xr:uid="{F1BC5ED5-445E-4327-B032-6C9F09D7EE18}"/>
    <cellStyle name="Įprastas 5 7 2 2 3 3" xfId="7795" xr:uid="{9FE2FBEC-BEFA-4600-A550-0AFCCDA81796}"/>
    <cellStyle name="Įprastas 5 7 2 2 3 4" xfId="4339" xr:uid="{565521BA-F238-4EF9-A995-B532BEF8DB67}"/>
    <cellStyle name="Įprastas 5 7 2 2 3_8 priedas" xfId="10329" xr:uid="{BDCCA612-A969-4119-8834-EA7E4B54DA59}"/>
    <cellStyle name="Įprastas 5 7 2 2 4" xfId="2610" xr:uid="{6782E536-1BB0-4ADD-903C-6819EDF94C15}"/>
    <cellStyle name="Įprastas 5 7 2 2 4 2" xfId="5203" xr:uid="{0A012997-E582-497F-A64C-4D833C14700C}"/>
    <cellStyle name="Įprastas 5 7 2 2 4_8 priedas" xfId="10330" xr:uid="{CB61CAAC-5C6F-4EB7-94C2-6E3382E16E0C}"/>
    <cellStyle name="Įprastas 5 7 2 2 5" xfId="6931" xr:uid="{5DE0D227-92D8-4ED9-A9D2-A02FDDA4B15B}"/>
    <cellStyle name="Įprastas 5 7 2 2 6" xfId="3475" xr:uid="{0A261E28-DD62-46C6-910F-7EE90E04B1A0}"/>
    <cellStyle name="Įprastas 5 7 2 2_8 priedas" xfId="1222" xr:uid="{00000000-0005-0000-0000-0000F1040000}"/>
    <cellStyle name="Įprastas 5 7 2 3" xfId="448" xr:uid="{00000000-0005-0000-0000-0000F2040000}"/>
    <cellStyle name="Įprastas 5 7 2 3 2" xfId="835" xr:uid="{00000000-0005-0000-0000-0000F3040000}"/>
    <cellStyle name="Įprastas 5 7 2 3 2 2" xfId="2163" xr:uid="{C31EA478-CC80-4C46-9ABD-013BEEDE6068}"/>
    <cellStyle name="Įprastas 5 7 2 3 2 2 2" xfId="6440" xr:uid="{3EBEDE8B-6013-4C93-B518-542069CB6087}"/>
    <cellStyle name="Įprastas 5 7 2 3 2 2 3" xfId="8168" xr:uid="{C9601EAA-EBA4-427F-B71A-F3DDB01AFCCE}"/>
    <cellStyle name="Įprastas 5 7 2 3 2 2 4" xfId="4712" xr:uid="{16BFF598-7C79-4D85-BF52-571C5556759D}"/>
    <cellStyle name="Įprastas 5 7 2 3 2 2_8 priedas" xfId="10332" xr:uid="{B7B4A1DF-5616-4C2E-A16C-81036376DFC1}"/>
    <cellStyle name="Įprastas 5 7 2 3 2 3" xfId="2983" xr:uid="{EFE7ADFE-E7E6-44C4-B126-4AEC584E3F96}"/>
    <cellStyle name="Įprastas 5 7 2 3 2 3 2" xfId="5576" xr:uid="{EA2D8FCA-0624-4421-88AF-4849946C1578}"/>
    <cellStyle name="Įprastas 5 7 2 3 2 3_8 priedas" xfId="10333" xr:uid="{F2E3B25E-B139-4E07-B0C8-FE940AF931CB}"/>
    <cellStyle name="Įprastas 5 7 2 3 2 4" xfId="7304" xr:uid="{18C9BEE9-1068-4A58-83F9-4B75ABB90068}"/>
    <cellStyle name="Įprastas 5 7 2 3 2 5" xfId="3848" xr:uid="{8F2317D2-D2EE-4C8C-BD35-110F3FF3A257}"/>
    <cellStyle name="Įprastas 5 7 2 3 2_8 priedas" xfId="10331" xr:uid="{6A08AD79-648F-4454-B385-64B57E4D2E5D}"/>
    <cellStyle name="Įprastas 5 7 2 3 3" xfId="2164" xr:uid="{F33D92BA-F942-465D-9455-D9F70DD8EF60}"/>
    <cellStyle name="Įprastas 5 7 2 3 3 2" xfId="6068" xr:uid="{99F33274-34DD-4605-95C2-D3FD42165B7A}"/>
    <cellStyle name="Įprastas 5 7 2 3 3 3" xfId="7796" xr:uid="{10F6D31F-006D-4065-9514-9BFF43A1E777}"/>
    <cellStyle name="Įprastas 5 7 2 3 3 4" xfId="4340" xr:uid="{F14E225A-6E7D-4E9E-8DF3-6B155461E788}"/>
    <cellStyle name="Įprastas 5 7 2 3 3_8 priedas" xfId="10334" xr:uid="{001356C8-9217-458B-A378-C46ED5C2561A}"/>
    <cellStyle name="Įprastas 5 7 2 3 4" xfId="2611" xr:uid="{184F5800-AFEC-44DC-BBED-1A38E599BE99}"/>
    <cellStyle name="Įprastas 5 7 2 3 4 2" xfId="5204" xr:uid="{47BB0E78-5C1E-42F2-AC14-06E37F431678}"/>
    <cellStyle name="Įprastas 5 7 2 3 4_8 priedas" xfId="10335" xr:uid="{0328E84B-5BC7-4959-B9B7-15A1CACB5AB4}"/>
    <cellStyle name="Įprastas 5 7 2 3 5" xfId="6932" xr:uid="{71B391DC-0B25-4374-AAB5-7230DCBBCC15}"/>
    <cellStyle name="Įprastas 5 7 2 3 6" xfId="3476" xr:uid="{FCAEB4E4-21FF-48BE-B02C-AF8542ABD539}"/>
    <cellStyle name="Įprastas 5 7 2 3_8 priedas" xfId="1088" xr:uid="{00000000-0005-0000-0000-0000F4040000}"/>
    <cellStyle name="Įprastas 5 7 2 4" xfId="547" xr:uid="{00000000-0005-0000-0000-0000F5040000}"/>
    <cellStyle name="Įprastas 5 7 2 4 2" xfId="2165" xr:uid="{07307918-34E0-4450-A72C-C49B4F2D1E42}"/>
    <cellStyle name="Įprastas 5 7 2 4 2 2" xfId="6152" xr:uid="{902BF6E3-0773-497A-AC12-3B197B32439D}"/>
    <cellStyle name="Įprastas 5 7 2 4 2 3" xfId="7880" xr:uid="{E1114A07-5B12-4E91-AC77-32B8A8569663}"/>
    <cellStyle name="Įprastas 5 7 2 4 2 4" xfId="4424" xr:uid="{ECC7147B-9EB8-45D1-961D-08883C4791A4}"/>
    <cellStyle name="Įprastas 5 7 2 4 2_8 priedas" xfId="10337" xr:uid="{74A80396-29A4-4B03-84EB-BCB4740D685A}"/>
    <cellStyle name="Įprastas 5 7 2 4 3" xfId="2695" xr:uid="{624C9771-9B15-4CF2-B00C-A88FA1CF010A}"/>
    <cellStyle name="Įprastas 5 7 2 4 3 2" xfId="5288" xr:uid="{E4A1BB09-A4C8-4C15-9D70-31E2E769E47F}"/>
    <cellStyle name="Įprastas 5 7 2 4 3_8 priedas" xfId="10338" xr:uid="{BC874CD7-94B8-4AB3-BB33-2A3B9D22A11B}"/>
    <cellStyle name="Įprastas 5 7 2 4 4" xfId="7016" xr:uid="{3A783A4A-2F10-46E7-B78F-E957FFAA6D77}"/>
    <cellStyle name="Įprastas 5 7 2 4 5" xfId="3560" xr:uid="{E34377A7-91C2-4D15-9973-4EEB3A1BA37D}"/>
    <cellStyle name="Įprastas 5 7 2 4_8 priedas" xfId="10336" xr:uid="{39815F86-1B37-4375-8A76-19F17DF4CC3C}"/>
    <cellStyle name="Įprastas 5 7 2 5" xfId="2166" xr:uid="{AD29884D-20C8-4762-8897-A43B385CF5D3}"/>
    <cellStyle name="Įprastas 5 7 2 5 2" xfId="6066" xr:uid="{B5994258-F23B-43DF-9BB2-F087AF19A84D}"/>
    <cellStyle name="Įprastas 5 7 2 5 3" xfId="7794" xr:uid="{B74085C7-2C8A-4D59-AEA8-3BB16D809CDE}"/>
    <cellStyle name="Įprastas 5 7 2 5 4" xfId="4338" xr:uid="{2571E75D-4345-44C9-8699-B1EED5BDCF44}"/>
    <cellStyle name="Įprastas 5 7 2 5_8 priedas" xfId="10339" xr:uid="{3FC32038-3618-4B54-8046-45C561D33F40}"/>
    <cellStyle name="Įprastas 5 7 2 6" xfId="2609" xr:uid="{B2A8C971-8D70-4DA6-91B8-88592A2A9181}"/>
    <cellStyle name="Įprastas 5 7 2 6 2" xfId="5202" xr:uid="{0576CF86-B611-4740-8EAD-C7369963C474}"/>
    <cellStyle name="Įprastas 5 7 2 6_8 priedas" xfId="10340" xr:uid="{1FA4CD80-8434-4318-93BE-F8A18F7D5BFE}"/>
    <cellStyle name="Įprastas 5 7 2 7" xfId="6930" xr:uid="{38956449-7215-4C07-91D4-2D014092C781}"/>
    <cellStyle name="Įprastas 5 7 2 8" xfId="3474" xr:uid="{B0EEA7A6-F0EC-41DC-993B-1D4500C7339F}"/>
    <cellStyle name="Įprastas 5 7 2_8 priedas" xfId="976" xr:uid="{00000000-0005-0000-0000-0000F6040000}"/>
    <cellStyle name="Įprastas 5 7 3" xfId="449" xr:uid="{00000000-0005-0000-0000-0000F7040000}"/>
    <cellStyle name="Įprastas 5 7 3 2" xfId="450" xr:uid="{00000000-0005-0000-0000-0000F8040000}"/>
    <cellStyle name="Įprastas 5 7 3 2 2" xfId="739" xr:uid="{00000000-0005-0000-0000-0000F9040000}"/>
    <cellStyle name="Įprastas 5 7 3 2 2 2" xfId="2167" xr:uid="{017681E5-0C60-40C7-9AFE-81258D1CF20E}"/>
    <cellStyle name="Įprastas 5 7 3 2 2 2 2" xfId="6344" xr:uid="{0F211C4F-E0AF-485D-9FA1-AAD6C37AD34A}"/>
    <cellStyle name="Įprastas 5 7 3 2 2 2 3" xfId="8072" xr:uid="{F45AF074-3F4D-4507-9D13-AAE3AE653552}"/>
    <cellStyle name="Įprastas 5 7 3 2 2 2 4" xfId="4616" xr:uid="{859F9B37-A93D-46B1-B3F9-3D0936C8AC20}"/>
    <cellStyle name="Įprastas 5 7 3 2 2 2_8 priedas" xfId="10342" xr:uid="{0092AC54-F9BC-428A-ABAE-A1FB632A9C14}"/>
    <cellStyle name="Įprastas 5 7 3 2 2 3" xfId="2887" xr:uid="{CDAA1718-9467-442E-AE7B-3C63CBC69248}"/>
    <cellStyle name="Įprastas 5 7 3 2 2 3 2" xfId="5480" xr:uid="{6B0EE298-4E4A-495B-BB95-23293F67756C}"/>
    <cellStyle name="Įprastas 5 7 3 2 2 3_8 priedas" xfId="10343" xr:uid="{6D2E2C37-07A2-4206-8699-86E584A812C3}"/>
    <cellStyle name="Įprastas 5 7 3 2 2 4" xfId="7208" xr:uid="{72763741-B53D-4CB3-A5FA-462D63E34311}"/>
    <cellStyle name="Įprastas 5 7 3 2 2 5" xfId="3752" xr:uid="{A04D0FCB-2904-4061-B12A-E0350A01CF4D}"/>
    <cellStyle name="Įprastas 5 7 3 2 2_8 priedas" xfId="10341" xr:uid="{E0AF15FC-E7E1-4FC4-9A81-9861CA5EC0DD}"/>
    <cellStyle name="Įprastas 5 7 3 2 3" xfId="2168" xr:uid="{3AF88AC6-382C-489A-BD84-62597534946C}"/>
    <cellStyle name="Įprastas 5 7 3 2 3 2" xfId="6070" xr:uid="{D021FF83-D21D-477B-B68A-6FAF6E066850}"/>
    <cellStyle name="Įprastas 5 7 3 2 3 3" xfId="7798" xr:uid="{8877EF8D-92A0-4D44-8B74-9C0011D2A9C3}"/>
    <cellStyle name="Įprastas 5 7 3 2 3 4" xfId="4342" xr:uid="{CF56D745-D76D-458F-A8BF-8D948ED2E5B1}"/>
    <cellStyle name="Įprastas 5 7 3 2 3_8 priedas" xfId="10344" xr:uid="{B1E2EBE1-576E-4908-9B0A-8B3425EBE35D}"/>
    <cellStyle name="Įprastas 5 7 3 2 4" xfId="2613" xr:uid="{8F697F5B-7E8C-4192-86F7-E778E6E951DC}"/>
    <cellStyle name="Įprastas 5 7 3 2 4 2" xfId="5206" xr:uid="{082E74A4-60BA-447B-8C38-3380403B084E}"/>
    <cellStyle name="Įprastas 5 7 3 2 4_8 priedas" xfId="10345" xr:uid="{D7DE0D80-DD4E-4EED-8A13-CD7047EE7815}"/>
    <cellStyle name="Įprastas 5 7 3 2 5" xfId="6934" xr:uid="{F31D315E-EBEB-4037-A18A-DDE7DD794CDF}"/>
    <cellStyle name="Įprastas 5 7 3 2 6" xfId="3478" xr:uid="{C6CFE188-56B5-47F5-A8E0-20287340664A}"/>
    <cellStyle name="Įprastas 5 7 3 2_8 priedas" xfId="1176" xr:uid="{00000000-0005-0000-0000-0000FA040000}"/>
    <cellStyle name="Įprastas 5 7 3 3" xfId="451" xr:uid="{00000000-0005-0000-0000-0000FB040000}"/>
    <cellStyle name="Įprastas 5 7 3 3 2" xfId="883" xr:uid="{00000000-0005-0000-0000-0000FC040000}"/>
    <cellStyle name="Įprastas 5 7 3 3 2 2" xfId="2169" xr:uid="{F003B6C9-91F9-485B-AE89-882922403BA2}"/>
    <cellStyle name="Įprastas 5 7 3 3 2 2 2" xfId="6488" xr:uid="{505AC879-429D-4E32-9864-45DDCA8F9A5D}"/>
    <cellStyle name="Įprastas 5 7 3 3 2 2 3" xfId="8216" xr:uid="{64211428-C059-46C2-856E-F433B3C5C530}"/>
    <cellStyle name="Įprastas 5 7 3 3 2 2 4" xfId="4760" xr:uid="{988CABEF-E1CB-41F1-B3D8-006D92350D67}"/>
    <cellStyle name="Įprastas 5 7 3 3 2 2_8 priedas" xfId="10347" xr:uid="{D8A71D06-B81C-4B98-8657-B75EDB45ECC8}"/>
    <cellStyle name="Įprastas 5 7 3 3 2 3" xfId="3031" xr:uid="{8C2C448B-039A-44C2-B4B1-1D8D792AB052}"/>
    <cellStyle name="Įprastas 5 7 3 3 2 3 2" xfId="5624" xr:uid="{1B7D58E7-C812-4F46-8CA2-9FA65A5363D7}"/>
    <cellStyle name="Įprastas 5 7 3 3 2 3_8 priedas" xfId="10348" xr:uid="{7975235F-D703-4EA4-B3AF-25906A18CFBD}"/>
    <cellStyle name="Įprastas 5 7 3 3 2 4" xfId="7352" xr:uid="{005A5D34-2FB4-46B8-BD15-B1FAECFBC039}"/>
    <cellStyle name="Įprastas 5 7 3 3 2 5" xfId="3896" xr:uid="{2D89260E-6F7C-430D-BDE6-4B2BBA916006}"/>
    <cellStyle name="Įprastas 5 7 3 3 2_8 priedas" xfId="10346" xr:uid="{B4051F4D-5094-4539-8A1C-1E82772F3129}"/>
    <cellStyle name="Įprastas 5 7 3 3 3" xfId="2170" xr:uid="{26AD919B-BE34-4636-8DEE-F313FD07EB96}"/>
    <cellStyle name="Įprastas 5 7 3 3 3 2" xfId="6071" xr:uid="{28BDD208-7373-41F8-A539-D729976B1996}"/>
    <cellStyle name="Įprastas 5 7 3 3 3 3" xfId="7799" xr:uid="{5E8AEA92-B855-4993-933E-9A41B94E3585}"/>
    <cellStyle name="Įprastas 5 7 3 3 3 4" xfId="4343" xr:uid="{5C3E12BB-1FD7-418F-980E-4754E2A07F3C}"/>
    <cellStyle name="Įprastas 5 7 3 3 3_8 priedas" xfId="10349" xr:uid="{B0130D25-75AC-40A7-BAD5-1AA4DA8E6F6C}"/>
    <cellStyle name="Įprastas 5 7 3 3 4" xfId="2614" xr:uid="{2B7B291A-86A3-4867-AF19-221AC146635B}"/>
    <cellStyle name="Įprastas 5 7 3 3 4 2" xfId="5207" xr:uid="{0BB0800D-8181-4913-B45E-D80149246177}"/>
    <cellStyle name="Įprastas 5 7 3 3 4_8 priedas" xfId="10350" xr:uid="{AF2C3302-7981-427F-93D9-4B6C073359DC}"/>
    <cellStyle name="Įprastas 5 7 3 3 5" xfId="6935" xr:uid="{7E408591-63AB-41F4-983F-987CEE9271BF}"/>
    <cellStyle name="Įprastas 5 7 3 3 6" xfId="3479" xr:uid="{37874A1E-89AD-4E0B-9E9D-A9EB290883E6}"/>
    <cellStyle name="Įprastas 5 7 3 3_8 priedas" xfId="1040" xr:uid="{00000000-0005-0000-0000-0000FD040000}"/>
    <cellStyle name="Įprastas 5 7 3 4" xfId="595" xr:uid="{00000000-0005-0000-0000-0000FE040000}"/>
    <cellStyle name="Įprastas 5 7 3 4 2" xfId="2171" xr:uid="{7D694B68-B345-4824-B76C-12B9632EDDD9}"/>
    <cellStyle name="Įprastas 5 7 3 4 2 2" xfId="6200" xr:uid="{4268AB24-A350-426D-A642-AF09B234B470}"/>
    <cellStyle name="Įprastas 5 7 3 4 2 3" xfId="7928" xr:uid="{23C7BAC2-2C8D-4D64-9C84-B7C578E48172}"/>
    <cellStyle name="Įprastas 5 7 3 4 2 4" xfId="4472" xr:uid="{DACBE3D6-2976-41A9-8103-69CF9C8FB1E1}"/>
    <cellStyle name="Įprastas 5 7 3 4 2_8 priedas" xfId="10352" xr:uid="{435193AC-5D83-4F80-8AF7-8714B414DE90}"/>
    <cellStyle name="Įprastas 5 7 3 4 3" xfId="2743" xr:uid="{34C27EA2-7FE2-44C1-9581-C9570C0B8013}"/>
    <cellStyle name="Įprastas 5 7 3 4 3 2" xfId="5336" xr:uid="{F9A88237-C8C7-4312-A675-DAEFFA04190B}"/>
    <cellStyle name="Įprastas 5 7 3 4 3_8 priedas" xfId="10353" xr:uid="{8F2F9A1D-F5CE-4D60-A29F-73D725F91103}"/>
    <cellStyle name="Įprastas 5 7 3 4 4" xfId="7064" xr:uid="{DDB0B2E9-5A73-4A78-BC59-4B5E27C14989}"/>
    <cellStyle name="Įprastas 5 7 3 4 5" xfId="3608" xr:uid="{F229035F-081B-4FCD-8614-7A6E97DA077D}"/>
    <cellStyle name="Įprastas 5 7 3 4_8 priedas" xfId="10351" xr:uid="{87FCB4D2-3814-4B40-937B-802FEBFD2AF8}"/>
    <cellStyle name="Įprastas 5 7 3 5" xfId="2172" xr:uid="{D9772CAA-8B7A-419D-8DE1-98FCC1444096}"/>
    <cellStyle name="Įprastas 5 7 3 5 2" xfId="6069" xr:uid="{E3FB7E29-0B62-41EF-BF01-1DE0D40B2255}"/>
    <cellStyle name="Įprastas 5 7 3 5 3" xfId="7797" xr:uid="{32F4F726-4005-46EE-9F1C-22541FA1738A}"/>
    <cellStyle name="Įprastas 5 7 3 5 4" xfId="4341" xr:uid="{1ADEB8AE-8B68-4F8A-8D66-ADB45AD9F52D}"/>
    <cellStyle name="Įprastas 5 7 3 5_8 priedas" xfId="10354" xr:uid="{A5B903AD-5032-49A5-A90C-F162EC1BC038}"/>
    <cellStyle name="Įprastas 5 7 3 6" xfId="2612" xr:uid="{AE894C0D-F828-44AD-BDD7-785C5907408B}"/>
    <cellStyle name="Įprastas 5 7 3 6 2" xfId="5205" xr:uid="{C5F114C2-4989-4EDB-AEEF-B3C1B10A9C17}"/>
    <cellStyle name="Įprastas 5 7 3 6_8 priedas" xfId="10355" xr:uid="{90CE0A86-DF3B-4A15-8E71-4C99073FE159}"/>
    <cellStyle name="Įprastas 5 7 3 7" xfId="6933" xr:uid="{4EABCCFE-9D77-4FF7-A8F7-95AAB1F61593}"/>
    <cellStyle name="Įprastas 5 7 3 8" xfId="3477" xr:uid="{AEB2B524-4EDA-4D0E-9BCA-A23AB0C95855}"/>
    <cellStyle name="Įprastas 5 7 3_8 priedas" xfId="1313" xr:uid="{00000000-0005-0000-0000-0000FF040000}"/>
    <cellStyle name="Įprastas 5 7 4" xfId="452" xr:uid="{00000000-0005-0000-0000-000000050000}"/>
    <cellStyle name="Įprastas 5 7 4 2" xfId="643" xr:uid="{00000000-0005-0000-0000-000001050000}"/>
    <cellStyle name="Įprastas 5 7 4 2 2" xfId="2173" xr:uid="{DE9A86B1-F828-47A1-9ACF-725B31392156}"/>
    <cellStyle name="Įprastas 5 7 4 2 2 2" xfId="6248" xr:uid="{B18493E1-EB49-43D6-97B4-1528FDEB722B}"/>
    <cellStyle name="Įprastas 5 7 4 2 2 3" xfId="7976" xr:uid="{6EB31475-393E-454E-9AA7-9D06D5193A5B}"/>
    <cellStyle name="Įprastas 5 7 4 2 2 4" xfId="4520" xr:uid="{4BB8046F-5C9A-41EE-8BE7-3FE865029B50}"/>
    <cellStyle name="Įprastas 5 7 4 2 2_8 priedas" xfId="10357" xr:uid="{2C7BDC64-CCBD-48C6-8A3A-25ABFE832D82}"/>
    <cellStyle name="Įprastas 5 7 4 2 3" xfId="2791" xr:uid="{29971A4D-EAE9-4260-A9DE-0AE45889A817}"/>
    <cellStyle name="Įprastas 5 7 4 2 3 2" xfId="5384" xr:uid="{19EB0877-D3A1-4FF7-A105-F4958A2A53CB}"/>
    <cellStyle name="Įprastas 5 7 4 2 3_8 priedas" xfId="10358" xr:uid="{49D52236-0E04-4C93-B0CD-76E46D7688AA}"/>
    <cellStyle name="Įprastas 5 7 4 2 4" xfId="7112" xr:uid="{D2995BE6-B07A-4737-B97F-FB723499BFD6}"/>
    <cellStyle name="Įprastas 5 7 4 2 5" xfId="3656" xr:uid="{C7D32B74-A148-4935-809C-BCF981A130A5}"/>
    <cellStyle name="Įprastas 5 7 4 2_8 priedas" xfId="10356" xr:uid="{6EFEC686-3A72-4025-AED7-AC716E1D9166}"/>
    <cellStyle name="Įprastas 5 7 4 3" xfId="2174" xr:uid="{18A80CD3-4264-4D8F-BEEB-0FB2A60B6A43}"/>
    <cellStyle name="Įprastas 5 7 4 3 2" xfId="6072" xr:uid="{1F264A34-EAB2-4FD6-A0F7-ADAE43515757}"/>
    <cellStyle name="Įprastas 5 7 4 3 3" xfId="7800" xr:uid="{D8F30AA7-A4CC-46CA-B5FB-A5FF45A4CD03}"/>
    <cellStyle name="Įprastas 5 7 4 3 4" xfId="4344" xr:uid="{99EB4B28-AA01-47EB-9FB2-3C8ABF36CABC}"/>
    <cellStyle name="Įprastas 5 7 4 3_8 priedas" xfId="10359" xr:uid="{F6B3A363-8D39-46FE-8F34-4C2A032C4195}"/>
    <cellStyle name="Įprastas 5 7 4 4" xfId="2615" xr:uid="{06657F72-AA8D-4996-9A80-DAD23D268148}"/>
    <cellStyle name="Įprastas 5 7 4 4 2" xfId="5208" xr:uid="{C4806EE1-6C05-40F9-81A1-7F4A10E5FF22}"/>
    <cellStyle name="Įprastas 5 7 4 4_8 priedas" xfId="10360" xr:uid="{1A9957D5-7962-4859-BFED-C7374847596C}"/>
    <cellStyle name="Įprastas 5 7 4 5" xfId="6936" xr:uid="{5C19AD58-0D81-43E5-B36A-ECB6A81521D2}"/>
    <cellStyle name="Įprastas 5 7 4 6" xfId="3480" xr:uid="{29E78445-CA97-4128-BECF-74FE0D80624C}"/>
    <cellStyle name="Įprastas 5 7 4_8 priedas" xfId="1264" xr:uid="{00000000-0005-0000-0000-000002050000}"/>
    <cellStyle name="Įprastas 5 7 5" xfId="453" xr:uid="{00000000-0005-0000-0000-000003050000}"/>
    <cellStyle name="Įprastas 5 7 5 2" xfId="787" xr:uid="{00000000-0005-0000-0000-000004050000}"/>
    <cellStyle name="Įprastas 5 7 5 2 2" xfId="2175" xr:uid="{4ED9AE23-8AF8-447F-B5F8-5F6A11E964AF}"/>
    <cellStyle name="Įprastas 5 7 5 2 2 2" xfId="6392" xr:uid="{FD338551-AB43-452F-A790-5650D31676C8}"/>
    <cellStyle name="Įprastas 5 7 5 2 2 3" xfId="8120" xr:uid="{F7A4F9E6-EFE7-4411-86FC-9A864FDEB443}"/>
    <cellStyle name="Įprastas 5 7 5 2 2 4" xfId="4664" xr:uid="{C8EA0D05-45AC-46CE-9151-84718BEFE9B9}"/>
    <cellStyle name="Įprastas 5 7 5 2 2_8 priedas" xfId="10362" xr:uid="{3937C5D2-5CC3-4E13-A46B-CD3B334CD3AA}"/>
    <cellStyle name="Įprastas 5 7 5 2 3" xfId="2935" xr:uid="{5EC232B1-8C5A-49EA-BEFB-EFB09979D465}"/>
    <cellStyle name="Įprastas 5 7 5 2 3 2" xfId="5528" xr:uid="{410BD450-611B-4535-B437-E631A81D6CBC}"/>
    <cellStyle name="Įprastas 5 7 5 2 3_8 priedas" xfId="10363" xr:uid="{F0A76F7A-0974-4669-84F2-3023F3EC8983}"/>
    <cellStyle name="Įprastas 5 7 5 2 4" xfId="7256" xr:uid="{C7756A64-C686-47FD-8E41-223F63CFB534}"/>
    <cellStyle name="Įprastas 5 7 5 2 5" xfId="3800" xr:uid="{AD14747D-C958-4F13-B36B-27FD45913D04}"/>
    <cellStyle name="Įprastas 5 7 5 2_8 priedas" xfId="10361" xr:uid="{C0180DC3-D1DD-4BFB-9E85-4A2038C6A851}"/>
    <cellStyle name="Įprastas 5 7 5 3" xfId="2176" xr:uid="{E1873F68-2779-4DFA-BE62-26AF031A954A}"/>
    <cellStyle name="Įprastas 5 7 5 3 2" xfId="6073" xr:uid="{39FB1C20-CBDC-4D0C-AAC4-2CACCE753665}"/>
    <cellStyle name="Įprastas 5 7 5 3 3" xfId="7801" xr:uid="{9B8BEF91-5852-49DB-BB58-34AB6E773C9A}"/>
    <cellStyle name="Įprastas 5 7 5 3 4" xfId="4345" xr:uid="{1B5EDAD0-2808-4244-8A08-E2DA9D7D254A}"/>
    <cellStyle name="Įprastas 5 7 5 3_8 priedas" xfId="10364" xr:uid="{912B9EB4-9217-4056-8E1C-9ABDD969045D}"/>
    <cellStyle name="Įprastas 5 7 5 4" xfId="2616" xr:uid="{962E25AB-7BF3-4433-941A-942A3FF224FE}"/>
    <cellStyle name="Įprastas 5 7 5 4 2" xfId="5209" xr:uid="{E65BAE0C-A6A7-4A9B-ACF2-B99C2DE0A028}"/>
    <cellStyle name="Įprastas 5 7 5 4_8 priedas" xfId="10365" xr:uid="{980B412A-7CB4-410C-A138-C8E1908D19DA}"/>
    <cellStyle name="Įprastas 5 7 5 5" xfId="6937" xr:uid="{60D35830-2D66-4FDB-AA37-61CB30BFC589}"/>
    <cellStyle name="Įprastas 5 7 5 6" xfId="3481" xr:uid="{B9103090-F052-4ADB-AADC-1D54B951B733}"/>
    <cellStyle name="Įprastas 5 7 5_8 priedas" xfId="1128" xr:uid="{00000000-0005-0000-0000-000005050000}"/>
    <cellStyle name="Įprastas 5 7 6" xfId="499" xr:uid="{00000000-0005-0000-0000-000006050000}"/>
    <cellStyle name="Įprastas 5 7 6 2" xfId="2177" xr:uid="{DBBC70C6-E90F-4883-96D3-7E2726FDCA73}"/>
    <cellStyle name="Įprastas 5 7 6 2 2" xfId="6104" xr:uid="{F54982DF-70E0-4DDA-AE1A-A89D012AFF06}"/>
    <cellStyle name="Įprastas 5 7 6 2 3" xfId="7832" xr:uid="{9BF964D6-129A-49FD-B00F-A5E964531198}"/>
    <cellStyle name="Įprastas 5 7 6 2 4" xfId="4376" xr:uid="{5E5AF5A9-76D8-4D45-A8CE-76F82B3F7191}"/>
    <cellStyle name="Įprastas 5 7 6 2_8 priedas" xfId="10367" xr:uid="{9CF5F5C6-87FE-4113-AB6E-DB5DBF7F3F31}"/>
    <cellStyle name="Įprastas 5 7 6 3" xfId="2647" xr:uid="{AC22E440-A278-4ECD-BC32-150F9FEDB0D6}"/>
    <cellStyle name="Įprastas 5 7 6 3 2" xfId="5240" xr:uid="{7BF105F4-A8CB-44C3-AFD2-6AFF72141F14}"/>
    <cellStyle name="Įprastas 5 7 6 3_8 priedas" xfId="10368" xr:uid="{A1086C51-538F-4C23-9F5C-EE012970CB0D}"/>
    <cellStyle name="Įprastas 5 7 6 4" xfId="6968" xr:uid="{579E67EF-A4B7-4CA8-9025-2B33E5F21B94}"/>
    <cellStyle name="Įprastas 5 7 6 5" xfId="3512" xr:uid="{0177074E-1B70-4EBB-B646-B1EC5EBCB18C}"/>
    <cellStyle name="Įprastas 5 7 6_8 priedas" xfId="10366" xr:uid="{CBC16C08-4777-412B-A8E6-5D14FC746FC0}"/>
    <cellStyle name="Įprastas 5 7 7" xfId="2178" xr:uid="{F8D76122-7FEA-4A14-828A-B55BD8F0BD6E}"/>
    <cellStyle name="Įprastas 5 7 7 2" xfId="6065" xr:uid="{EFD09FA4-9708-4734-85BB-0573EE13CCAC}"/>
    <cellStyle name="Įprastas 5 7 7 3" xfId="7793" xr:uid="{D65DBE68-3DFD-48C1-A2F4-FEF5D4721777}"/>
    <cellStyle name="Įprastas 5 7 7 4" xfId="4337" xr:uid="{CDA9AD87-455D-47B6-99B2-F9D93075DCFC}"/>
    <cellStyle name="Įprastas 5 7 7_8 priedas" xfId="10369" xr:uid="{1E337874-8AD1-4D51-86D2-EE082A450F7E}"/>
    <cellStyle name="Įprastas 5 7 8" xfId="2608" xr:uid="{FACE4A04-466D-483E-920D-1D5DF716D2D7}"/>
    <cellStyle name="Įprastas 5 7 8 2" xfId="5201" xr:uid="{71895E7A-77B1-4788-9471-732422F36AF5}"/>
    <cellStyle name="Įprastas 5 7 8_8 priedas" xfId="10370" xr:uid="{F593783D-B6EE-4E3F-8ED9-B90D639400C1}"/>
    <cellStyle name="Įprastas 5 7 9" xfId="6929" xr:uid="{9F2FF4DC-944D-451B-B5F6-98A939141332}"/>
    <cellStyle name="Įprastas 5 7_8 priedas" xfId="1112" xr:uid="{00000000-0005-0000-0000-000007050000}"/>
    <cellStyle name="Įprastas 5 8" xfId="454" xr:uid="{00000000-0005-0000-0000-000008050000}"/>
    <cellStyle name="Įprastas 5 8 2" xfId="455" xr:uid="{00000000-0005-0000-0000-000009050000}"/>
    <cellStyle name="Įprastas 5 8 2 2" xfId="667" xr:uid="{00000000-0005-0000-0000-00000A050000}"/>
    <cellStyle name="Įprastas 5 8 2 2 2" xfId="2179" xr:uid="{3ADA960D-4735-44B2-BC51-0C3847ADA25A}"/>
    <cellStyle name="Įprastas 5 8 2 2 2 2" xfId="6272" xr:uid="{4E80C083-CA62-41B8-B5D8-C6A1F89D2720}"/>
    <cellStyle name="Įprastas 5 8 2 2 2 3" xfId="8000" xr:uid="{03C92405-8A0D-4F2C-B950-0DB69C03F264}"/>
    <cellStyle name="Įprastas 5 8 2 2 2 4" xfId="4544" xr:uid="{0A6EDDC5-A781-440D-8637-0A5F5F691D04}"/>
    <cellStyle name="Įprastas 5 8 2 2 2_8 priedas" xfId="10372" xr:uid="{B1A4F88C-F11D-40A7-8CF0-FDCAA98E6FE2}"/>
    <cellStyle name="Įprastas 5 8 2 2 3" xfId="2815" xr:uid="{1C8987A9-FC62-4B4E-9457-ACC28EED4E09}"/>
    <cellStyle name="Įprastas 5 8 2 2 3 2" xfId="5408" xr:uid="{87F74A7E-5C35-49DD-AE33-427D85B6C712}"/>
    <cellStyle name="Įprastas 5 8 2 2 3_8 priedas" xfId="10373" xr:uid="{F04D9217-BE3D-43EA-B22A-0BCC64BB00C2}"/>
    <cellStyle name="Įprastas 5 8 2 2 4" xfId="7136" xr:uid="{89D43E97-4B71-4FC7-9A9B-FF34BF9257B7}"/>
    <cellStyle name="Įprastas 5 8 2 2 5" xfId="3680" xr:uid="{7F4E5BD1-4EAC-466B-A744-D89CF76A5276}"/>
    <cellStyle name="Įprastas 5 8 2 2_8 priedas" xfId="10371" xr:uid="{B6FE9E6D-E742-4BD1-BF43-EE79AB61C4F6}"/>
    <cellStyle name="Įprastas 5 8 2 3" xfId="2180" xr:uid="{EB68345D-A6B6-44C8-B489-978A3E2908BD}"/>
    <cellStyle name="Įprastas 5 8 2 3 2" xfId="6075" xr:uid="{7A826299-503E-4FAD-BF9F-FCEEC806BBEC}"/>
    <cellStyle name="Įprastas 5 8 2 3 3" xfId="7803" xr:uid="{D6498D57-5AA5-480C-8D16-F2B9C69929C9}"/>
    <cellStyle name="Įprastas 5 8 2 3 4" xfId="4347" xr:uid="{F9C2889A-1A9A-4C76-B08B-794641055FF9}"/>
    <cellStyle name="Įprastas 5 8 2 3_8 priedas" xfId="10374" xr:uid="{A24A60B5-E7DF-4553-91D5-754D90114948}"/>
    <cellStyle name="Įprastas 5 8 2 4" xfId="2618" xr:uid="{DC3AE340-4908-4A6B-96A7-1246187D78C4}"/>
    <cellStyle name="Įprastas 5 8 2 4 2" xfId="5211" xr:uid="{E9258596-CC7A-4D83-A4BF-20BF2B451B67}"/>
    <cellStyle name="Įprastas 5 8 2 4_8 priedas" xfId="10375" xr:uid="{1C677891-BE34-4B3F-AFF1-445ED100CE57}"/>
    <cellStyle name="Įprastas 5 8 2 5" xfId="6939" xr:uid="{B03DB45D-8635-410E-843C-49A9F04EBB36}"/>
    <cellStyle name="Įprastas 5 8 2 6" xfId="3483" xr:uid="{661FA387-97A2-418B-95CB-175269D12F1D}"/>
    <cellStyle name="Įprastas 5 8 2_8 priedas" xfId="951" xr:uid="{00000000-0005-0000-0000-00000B050000}"/>
    <cellStyle name="Įprastas 5 8 3" xfId="456" xr:uid="{00000000-0005-0000-0000-00000C050000}"/>
    <cellStyle name="Įprastas 5 8 3 2" xfId="811" xr:uid="{00000000-0005-0000-0000-00000D050000}"/>
    <cellStyle name="Įprastas 5 8 3 2 2" xfId="2181" xr:uid="{C4CC6535-4FCB-4D09-8EA9-E465CEAB6990}"/>
    <cellStyle name="Įprastas 5 8 3 2 2 2" xfId="6416" xr:uid="{D1CFB125-DA47-4EB9-86C3-F5EEA6648BF6}"/>
    <cellStyle name="Įprastas 5 8 3 2 2 3" xfId="8144" xr:uid="{F29C7B71-B0C4-4DB9-B2A7-4494BB8B4E03}"/>
    <cellStyle name="Įprastas 5 8 3 2 2 4" xfId="4688" xr:uid="{D4D080BD-81F6-45EE-B388-083838A8003F}"/>
    <cellStyle name="Įprastas 5 8 3 2 2_8 priedas" xfId="10377" xr:uid="{5ADD10E6-81F0-465F-9B06-4574B0DFEDE0}"/>
    <cellStyle name="Įprastas 5 8 3 2 3" xfId="2959" xr:uid="{1336F552-867C-4406-B9E0-69D3033B89F9}"/>
    <cellStyle name="Įprastas 5 8 3 2 3 2" xfId="5552" xr:uid="{740B45F1-2AE8-4BB1-95DA-AE5390F01317}"/>
    <cellStyle name="Įprastas 5 8 3 2 3_8 priedas" xfId="10378" xr:uid="{D41BF374-0208-42BA-B6D7-E002DC093EB9}"/>
    <cellStyle name="Įprastas 5 8 3 2 4" xfId="7280" xr:uid="{6A575F59-96B0-4C11-A239-84C9746380A2}"/>
    <cellStyle name="Įprastas 5 8 3 2 5" xfId="3824" xr:uid="{F51D699E-BA68-402C-AD38-6E1A2A81EF11}"/>
    <cellStyle name="Įprastas 5 8 3 2_8 priedas" xfId="10376" xr:uid="{D6DC59E4-4FB0-4C76-BDE7-0C1EC32EC9A7}"/>
    <cellStyle name="Įprastas 5 8 3 3" xfId="2182" xr:uid="{6CC14798-45AC-4DE0-8001-810DD156724A}"/>
    <cellStyle name="Įprastas 5 8 3 3 2" xfId="6076" xr:uid="{6E5A85AF-EA70-4CE5-A543-5B2699B16374}"/>
    <cellStyle name="Įprastas 5 8 3 3 3" xfId="7804" xr:uid="{E2CC1307-4D03-486E-A261-C2586B009D66}"/>
    <cellStyle name="Įprastas 5 8 3 3 4" xfId="4348" xr:uid="{540378A2-3839-480A-B950-B07771190B57}"/>
    <cellStyle name="Įprastas 5 8 3 3_8 priedas" xfId="10379" xr:uid="{DB37F48F-0D98-4B91-9EBD-D810F632ECAA}"/>
    <cellStyle name="Įprastas 5 8 3 4" xfId="2619" xr:uid="{AFB0CEFB-C6C6-472B-ACD2-099F9AA616A0}"/>
    <cellStyle name="Įprastas 5 8 3 4 2" xfId="5212" xr:uid="{7E5DF9F1-BF78-4926-91A2-305193155257}"/>
    <cellStyle name="Įprastas 5 8 3 4_8 priedas" xfId="10380" xr:uid="{4C7DE572-1916-45A2-ADDD-B94B4C8ADDC4}"/>
    <cellStyle name="Įprastas 5 8 3 5" xfId="6940" xr:uid="{CF3574CF-9EC5-4492-8BDB-5E1BD7B2F85D}"/>
    <cellStyle name="Įprastas 5 8 3 6" xfId="3484" xr:uid="{BDBC1FB7-A8D9-4757-A583-ECF3281C2875}"/>
    <cellStyle name="Įprastas 5 8 3_8 priedas" xfId="1210" xr:uid="{00000000-0005-0000-0000-00000E050000}"/>
    <cellStyle name="Įprastas 5 8 4" xfId="523" xr:uid="{00000000-0005-0000-0000-00000F050000}"/>
    <cellStyle name="Įprastas 5 8 4 2" xfId="2183" xr:uid="{01DC6201-2D4E-42E4-8DC2-9951B85FCD3A}"/>
    <cellStyle name="Įprastas 5 8 4 2 2" xfId="6128" xr:uid="{C8647AA2-47C3-4B0E-8910-ABA7097CC008}"/>
    <cellStyle name="Įprastas 5 8 4 2 3" xfId="7856" xr:uid="{238F20CF-5C19-4262-9E09-765B4A130FEB}"/>
    <cellStyle name="Įprastas 5 8 4 2 4" xfId="4400" xr:uid="{C8219E17-D3BD-455E-93A5-28FCD244258A}"/>
    <cellStyle name="Įprastas 5 8 4 2_8 priedas" xfId="10382" xr:uid="{E5E320FB-5C63-4497-93C7-F89EEA18AF2D}"/>
    <cellStyle name="Įprastas 5 8 4 3" xfId="2671" xr:uid="{305F2F85-2C3D-4107-A44A-F6F86967A9A6}"/>
    <cellStyle name="Įprastas 5 8 4 3 2" xfId="5264" xr:uid="{5A77F478-0919-447E-BEFC-50A889831EC8}"/>
    <cellStyle name="Įprastas 5 8 4 3_8 priedas" xfId="10383" xr:uid="{9BCD024A-F07F-4E25-AABF-1C977BC54F2D}"/>
    <cellStyle name="Įprastas 5 8 4 4" xfId="6992" xr:uid="{5AB880E0-95B4-4B9E-8039-6639C47BF1AC}"/>
    <cellStyle name="Įprastas 5 8 4 5" xfId="3536" xr:uid="{5F627301-BF9F-410A-A919-FDD4C064E834}"/>
    <cellStyle name="Įprastas 5 8 4_8 priedas" xfId="10381" xr:uid="{44322369-29AE-4507-856A-A349BFA7863E}"/>
    <cellStyle name="Įprastas 5 8 5" xfId="2184" xr:uid="{2A748B68-4DA0-4168-8566-2725E0D4C434}"/>
    <cellStyle name="Įprastas 5 8 5 2" xfId="6074" xr:uid="{B99BD348-F99D-4DAB-BEA2-4AB8AF8C4A8A}"/>
    <cellStyle name="Įprastas 5 8 5 3" xfId="7802" xr:uid="{DEE6E37E-C69C-41A2-918F-70D857F69A26}"/>
    <cellStyle name="Įprastas 5 8 5 4" xfId="4346" xr:uid="{2150B4D8-1601-4AA9-B9E4-99F45772E2FD}"/>
    <cellStyle name="Įprastas 5 8 5_8 priedas" xfId="10384" xr:uid="{E84C1E60-32EE-4ADA-968B-2B549EC51052}"/>
    <cellStyle name="Įprastas 5 8 6" xfId="2617" xr:uid="{478BECBF-8AA0-419C-8ADB-FFD9E602B670}"/>
    <cellStyle name="Įprastas 5 8 6 2" xfId="5210" xr:uid="{460C36A1-CCE9-4460-97A3-A2DE482AA02F}"/>
    <cellStyle name="Įprastas 5 8 6_8 priedas" xfId="10385" xr:uid="{6EA5CBF2-8FAC-4F65-A6FD-5C345C89D897}"/>
    <cellStyle name="Įprastas 5 8 7" xfId="6938" xr:uid="{2B47D82A-A7D0-42F2-8264-72C15A635A25}"/>
    <cellStyle name="Įprastas 5 8 8" xfId="3482" xr:uid="{18A35EF8-AE1C-4735-8848-E6A7BC4E3F3E}"/>
    <cellStyle name="Įprastas 5 8_8 priedas" xfId="992" xr:uid="{00000000-0005-0000-0000-000010050000}"/>
    <cellStyle name="Įprastas 5 9" xfId="457" xr:uid="{00000000-0005-0000-0000-000011050000}"/>
    <cellStyle name="Įprastas 5 9 2" xfId="458" xr:uid="{00000000-0005-0000-0000-000012050000}"/>
    <cellStyle name="Įprastas 5 9 2 2" xfId="715" xr:uid="{00000000-0005-0000-0000-000013050000}"/>
    <cellStyle name="Įprastas 5 9 2 2 2" xfId="2185" xr:uid="{75E6ADAE-AE6D-4018-979E-AF7F347DE7C8}"/>
    <cellStyle name="Įprastas 5 9 2 2 2 2" xfId="6320" xr:uid="{0D37D459-895F-40CD-B93E-6F6DF755C4F9}"/>
    <cellStyle name="Įprastas 5 9 2 2 2 3" xfId="8048" xr:uid="{70AB8417-EB2D-454C-948F-B8C37BAD8750}"/>
    <cellStyle name="Įprastas 5 9 2 2 2 4" xfId="4592" xr:uid="{366C8BA6-D4C8-4075-BD31-9AEA8E084BC3}"/>
    <cellStyle name="Įprastas 5 9 2 2 2_8 priedas" xfId="10387" xr:uid="{3C7465B9-5014-4EAA-9A78-9418E1133061}"/>
    <cellStyle name="Įprastas 5 9 2 2 3" xfId="2863" xr:uid="{41CF5675-E596-44B8-9834-E7E74F76C14E}"/>
    <cellStyle name="Įprastas 5 9 2 2 3 2" xfId="5456" xr:uid="{B2D87784-B88B-4062-915D-CD39ECFA6587}"/>
    <cellStyle name="Įprastas 5 9 2 2 3_8 priedas" xfId="10388" xr:uid="{6292438A-96BB-4479-BAA2-84F0A427372E}"/>
    <cellStyle name="Įprastas 5 9 2 2 4" xfId="7184" xr:uid="{619112D9-E69F-4331-B355-55474F66DD64}"/>
    <cellStyle name="Įprastas 5 9 2 2 5" xfId="3728" xr:uid="{AAEAF6DE-9DAA-47CB-8D84-C00C3A5E773F}"/>
    <cellStyle name="Įprastas 5 9 2 2_8 priedas" xfId="10386" xr:uid="{FDA2FF29-CCE7-47FB-A9E1-4F816356E592}"/>
    <cellStyle name="Įprastas 5 9 2 3" xfId="2186" xr:uid="{9CB64B48-A0FE-470A-BF44-C6CDA903059A}"/>
    <cellStyle name="Įprastas 5 9 2 3 2" xfId="6078" xr:uid="{70417EA4-FA81-43F4-966F-20188EF39E20}"/>
    <cellStyle name="Įprastas 5 9 2 3 3" xfId="7806" xr:uid="{8E1F4738-7EBE-4990-85D6-F3DF73921047}"/>
    <cellStyle name="Įprastas 5 9 2 3 4" xfId="4350" xr:uid="{100EEE13-F8FC-4EC9-A4DA-6E8920E28FA3}"/>
    <cellStyle name="Įprastas 5 9 2 3_8 priedas" xfId="10389" xr:uid="{A35E020A-C309-48DD-8A4A-DEA7DA0CCDD2}"/>
    <cellStyle name="Įprastas 5 9 2 4" xfId="2621" xr:uid="{69B818E9-9A8D-4835-AD3B-EB3C089EF4AE}"/>
    <cellStyle name="Įprastas 5 9 2 4 2" xfId="5214" xr:uid="{99C9C4D2-4D2B-4FE9-B789-88F315622AE5}"/>
    <cellStyle name="Įprastas 5 9 2 4_8 priedas" xfId="10390" xr:uid="{8ABC84A9-7351-4868-A367-9881E453E364}"/>
    <cellStyle name="Įprastas 5 9 2 5" xfId="6942" xr:uid="{B4EEA926-D198-43FF-AFEE-D0C85CD88566}"/>
    <cellStyle name="Įprastas 5 9 2 6" xfId="3486" xr:uid="{4DB13E75-9670-405B-AD76-7D7228042C0F}"/>
    <cellStyle name="Įprastas 5 9 2_8 priedas" xfId="1301" xr:uid="{00000000-0005-0000-0000-000014050000}"/>
    <cellStyle name="Įprastas 5 9 3" xfId="459" xr:uid="{00000000-0005-0000-0000-000015050000}"/>
    <cellStyle name="Įprastas 5 9 3 2" xfId="859" xr:uid="{00000000-0005-0000-0000-000016050000}"/>
    <cellStyle name="Įprastas 5 9 3 2 2" xfId="2187" xr:uid="{BB8672D8-CBF7-406C-8353-17AF0F8870B3}"/>
    <cellStyle name="Įprastas 5 9 3 2 2 2" xfId="6464" xr:uid="{256839E2-7B3F-418B-903A-F23002B8198D}"/>
    <cellStyle name="Įprastas 5 9 3 2 2 3" xfId="8192" xr:uid="{9215231C-7B41-4FFD-A668-BC108929DF85}"/>
    <cellStyle name="Įprastas 5 9 3 2 2 4" xfId="4736" xr:uid="{93271357-FF58-4A7A-B7A2-FA2178BB4898}"/>
    <cellStyle name="Įprastas 5 9 3 2 2_8 priedas" xfId="10392" xr:uid="{4CD01169-3164-41F2-9907-937FE6C55038}"/>
    <cellStyle name="Įprastas 5 9 3 2 3" xfId="3007" xr:uid="{F6F16A22-A217-4D98-BAAB-E9F5D88DE7B9}"/>
    <cellStyle name="Įprastas 5 9 3 2 3 2" xfId="5600" xr:uid="{D46766F6-DADA-42E7-AF4B-06AA1E488F54}"/>
    <cellStyle name="Įprastas 5 9 3 2 3_8 priedas" xfId="10393" xr:uid="{8C8F2764-EBFA-47B7-B42E-5E5DDACB9DF9}"/>
    <cellStyle name="Įprastas 5 9 3 2 4" xfId="7328" xr:uid="{788E3F75-49AA-4A25-87CA-2AF45367F199}"/>
    <cellStyle name="Įprastas 5 9 3 2 5" xfId="3872" xr:uid="{B22405E5-6B7B-438E-9956-174AC0184FFD}"/>
    <cellStyle name="Įprastas 5 9 3 2_8 priedas" xfId="10391" xr:uid="{BE46F0B2-006F-4B67-93F3-3B39F956D060}"/>
    <cellStyle name="Įprastas 5 9 3 3" xfId="2188" xr:uid="{ED7164C9-01FE-4563-A5DA-C2FE7C875AF4}"/>
    <cellStyle name="Įprastas 5 9 3 3 2" xfId="6079" xr:uid="{C0B16030-915F-48D8-82E9-C21454A95986}"/>
    <cellStyle name="Įprastas 5 9 3 3 3" xfId="7807" xr:uid="{42965253-89EC-4F5C-AA43-A545E8B47D82}"/>
    <cellStyle name="Įprastas 5 9 3 3 4" xfId="4351" xr:uid="{6FAA015C-4892-40C1-A416-1C02A6B90A6F}"/>
    <cellStyle name="Įprastas 5 9 3 3_8 priedas" xfId="10394" xr:uid="{BA86BA42-A4F4-4EE1-BEEE-DDAB7E85F02E}"/>
    <cellStyle name="Įprastas 5 9 3 4" xfId="2622" xr:uid="{733A5E0F-D923-4724-ADCC-68DD11E9E12A}"/>
    <cellStyle name="Įprastas 5 9 3 4 2" xfId="5215" xr:uid="{B20E5604-DA6D-490F-9530-3FD757ACFC1B}"/>
    <cellStyle name="Įprastas 5 9 3 4_8 priedas" xfId="10395" xr:uid="{B1647A9F-98FD-486D-AF29-C76973160C7F}"/>
    <cellStyle name="Įprastas 5 9 3 5" xfId="6943" xr:uid="{F4ED9AE0-1361-4C3C-88CE-5DFB0902AA7A}"/>
    <cellStyle name="Įprastas 5 9 3 6" xfId="3487" xr:uid="{B50D1A64-0DA3-4F9C-A1EF-BA080DC7044B}"/>
    <cellStyle name="Įprastas 5 9 3_8 priedas" xfId="1164" xr:uid="{00000000-0005-0000-0000-000017050000}"/>
    <cellStyle name="Įprastas 5 9 4" xfId="571" xr:uid="{00000000-0005-0000-0000-000018050000}"/>
    <cellStyle name="Įprastas 5 9 4 2" xfId="2189" xr:uid="{DAF9E66A-2777-4EF5-BF8B-6FD9A2233973}"/>
    <cellStyle name="Įprastas 5 9 4 2 2" xfId="6176" xr:uid="{5953FC4F-6C76-4793-95F8-AF753E2FFA80}"/>
    <cellStyle name="Įprastas 5 9 4 2 3" xfId="7904" xr:uid="{CFD1520F-9542-44AC-A766-2B0D22CB8401}"/>
    <cellStyle name="Įprastas 5 9 4 2 4" xfId="4448" xr:uid="{4C952493-B3F3-497A-B29E-2CD6949C08AD}"/>
    <cellStyle name="Įprastas 5 9 4 2_8 priedas" xfId="10397" xr:uid="{DA8FC764-B409-41FB-99BA-9ADDB2223639}"/>
    <cellStyle name="Įprastas 5 9 4 3" xfId="2719" xr:uid="{541F5984-4D5F-400C-9507-C767F86D4003}"/>
    <cellStyle name="Įprastas 5 9 4 3 2" xfId="5312" xr:uid="{00D5242C-367A-4B8D-BD30-A4CEA2C0859A}"/>
    <cellStyle name="Įprastas 5 9 4 3_8 priedas" xfId="10398" xr:uid="{AF3CC96A-D3B9-4361-925F-C0807CD50EDC}"/>
    <cellStyle name="Įprastas 5 9 4 4" xfId="7040" xr:uid="{F5C89735-255F-4E73-91E0-72FBCA01C7CD}"/>
    <cellStyle name="Įprastas 5 9 4 5" xfId="3584" xr:uid="{11B9508E-27D4-4FEF-9B15-03BDDB611541}"/>
    <cellStyle name="Įprastas 5 9 4_8 priedas" xfId="10396" xr:uid="{B9243C57-7E75-4DD8-B232-DD72227C850A}"/>
    <cellStyle name="Įprastas 5 9 5" xfId="2190" xr:uid="{DC5B4224-4FD1-48C4-A759-117FBA360CB2}"/>
    <cellStyle name="Įprastas 5 9 5 2" xfId="6077" xr:uid="{43E7A666-2CCB-440B-BC44-0FC8E5B9DBCF}"/>
    <cellStyle name="Įprastas 5 9 5 3" xfId="7805" xr:uid="{4F952B04-6B7B-4929-B6BB-3565E30B7D97}"/>
    <cellStyle name="Įprastas 5 9 5 4" xfId="4349" xr:uid="{C2B3F142-B79A-473E-AC1D-543DC88FB170}"/>
    <cellStyle name="Įprastas 5 9 5_8 priedas" xfId="10399" xr:uid="{F7D5D299-EE8F-4B46-BEAC-01D2B3145AE7}"/>
    <cellStyle name="Įprastas 5 9 6" xfId="2620" xr:uid="{F6F9A7C6-C75F-48C7-B36E-EF9C5F9ABF5F}"/>
    <cellStyle name="Įprastas 5 9 6 2" xfId="5213" xr:uid="{37DB82D9-71A1-4CF1-8F19-CC0BBD554EB5}"/>
    <cellStyle name="Įprastas 5 9 6_8 priedas" xfId="10400" xr:uid="{45DDBF27-351C-4D42-BCE5-96535306399F}"/>
    <cellStyle name="Įprastas 5 9 7" xfId="6941" xr:uid="{1210B48E-E040-4544-844F-4234C8B3B097}"/>
    <cellStyle name="Įprastas 5 9 8" xfId="3485" xr:uid="{CB1C2F79-AB50-422D-8583-F381F61F1AF6}"/>
    <cellStyle name="Įprastas 5 9_8 priedas" xfId="1076" xr:uid="{00000000-0005-0000-0000-000019050000}"/>
    <cellStyle name="Įprastas 5_8 -ES projektai" xfId="13" xr:uid="{00000000-0005-0000-0000-00001A050000}"/>
    <cellStyle name="Įprastas 6" xfId="10407" xr:uid="{5631E6C4-24B6-4025-8983-686750F176B5}"/>
    <cellStyle name="Įprastas 7" xfId="10408" xr:uid="{F4B798D4-CFAB-44E8-957E-B30F08BF2E0F}"/>
    <cellStyle name="Įprastas 8" xfId="10409" xr:uid="{E814D5A2-3F0A-4115-99A6-FC4AB775AEAC}"/>
    <cellStyle name="Įprastas 9" xfId="10410" xr:uid="{D405A49B-58C8-40C0-B3A7-48A059D2D2B7}"/>
    <cellStyle name="Įprastas_8 priedas" xfId="10411" xr:uid="{471CEB6E-E03C-4AE8-9641-DDBD7692E95B}"/>
    <cellStyle name="Įprastas_Lapas5" xfId="10414" xr:uid="{6EBE60BD-B3C9-49D8-B849-DEBC07D19AD1}"/>
    <cellStyle name="Kablelis 2" xfId="19" xr:uid="{00000000-0005-0000-0000-00001C050000}"/>
    <cellStyle name="Kablelis 2 2" xfId="460" xr:uid="{00000000-0005-0000-0000-00001D050000}"/>
    <cellStyle name="Kablelis 2 2 2" xfId="461" xr:uid="{00000000-0005-0000-0000-00001E050000}"/>
    <cellStyle name="Kablelis 2 2 3" xfId="33" xr:uid="{00000000-0005-0000-0000-00001F050000}"/>
    <cellStyle name="Kablelis 2 2_8 priedas" xfId="10402" xr:uid="{AF60ED63-20E7-440E-A961-993E832A2C73}"/>
    <cellStyle name="Kablelis 2 3" xfId="462" xr:uid="{00000000-0005-0000-0000-000020050000}"/>
    <cellStyle name="Kablelis 2 3 2" xfId="463" xr:uid="{00000000-0005-0000-0000-000021050000}"/>
    <cellStyle name="Kablelis 2 3 3" xfId="464" xr:uid="{00000000-0005-0000-0000-000022050000}"/>
    <cellStyle name="Kablelis 2 3_8 priedas" xfId="10403" xr:uid="{CDB8A22C-F36B-4D3E-AAE5-69B2ED0FA80B}"/>
    <cellStyle name="Kablelis 2 4" xfId="465" xr:uid="{00000000-0005-0000-0000-000023050000}"/>
    <cellStyle name="Kablelis 2 5" xfId="32" xr:uid="{00000000-0005-0000-0000-000024050000}"/>
    <cellStyle name="Kablelis 2_8 priedas" xfId="10401" xr:uid="{2D96E562-5169-4B7F-B61B-92D71E8FE695}"/>
    <cellStyle name="Kablelis 3" xfId="20" xr:uid="{00000000-0005-0000-0000-000025050000}"/>
    <cellStyle name="Kablelis 3 2" xfId="466" xr:uid="{00000000-0005-0000-0000-000026050000}"/>
    <cellStyle name="Kablelis 3 2 2" xfId="467" xr:uid="{00000000-0005-0000-0000-000027050000}"/>
    <cellStyle name="Kablelis 3 2 3" xfId="468" xr:uid="{00000000-0005-0000-0000-000028050000}"/>
    <cellStyle name="Kablelis 3 2_8 priedas" xfId="10405" xr:uid="{ECA77B13-A416-4745-9DA3-1CAF9CC55105}"/>
    <cellStyle name="Kablelis 3 3" xfId="469" xr:uid="{00000000-0005-0000-0000-000029050000}"/>
    <cellStyle name="Kablelis 3 3 2" xfId="470" xr:uid="{00000000-0005-0000-0000-00002A050000}"/>
    <cellStyle name="Kablelis 3 3 3" xfId="471" xr:uid="{00000000-0005-0000-0000-00002B050000}"/>
    <cellStyle name="Kablelis 3 3_8 priedas" xfId="10406" xr:uid="{BE1D295E-650A-498F-B1CA-085CF3AE872C}"/>
    <cellStyle name="Kablelis 3 4" xfId="472" xr:uid="{00000000-0005-0000-0000-00002C050000}"/>
    <cellStyle name="Kablelis 3 5" xfId="473" xr:uid="{00000000-0005-0000-0000-00002D050000}"/>
    <cellStyle name="Kablelis 3_8 priedas" xfId="10404" xr:uid="{4A6186DF-1716-4BAC-BF81-8009703D7647}"/>
    <cellStyle name="Kablelis 4" xfId="474" xr:uid="{00000000-0005-0000-0000-00002E050000}"/>
    <cellStyle name="Neutralus" xfId="3055" builtinId="28"/>
    <cellStyle name="Normal_Sheet1" xfId="9" xr:uid="{00000000-0005-0000-0000-00002F050000}"/>
    <cellStyle name="Procentai" xfId="10412" builtinId="5"/>
  </cellStyles>
  <dxfs count="0"/>
  <tableStyles count="0" defaultTableStyle="TableStyleMedium9" defaultPivotStyle="PivotStyleLight16"/>
  <colors>
    <mruColors>
      <color rgb="FFCCECFF"/>
      <color rgb="FFCCFFFF"/>
      <color rgb="FFCCCCFF"/>
      <color rgb="FFFF99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0"/>
  <sheetViews>
    <sheetView workbookViewId="0">
      <selection activeCell="C5" sqref="C5:H5"/>
    </sheetView>
  </sheetViews>
  <sheetFormatPr defaultColWidth="9.140625" defaultRowHeight="12.75" x14ac:dyDescent="0.2"/>
  <cols>
    <col min="1" max="1" width="4.5703125" style="168" customWidth="1"/>
    <col min="2" max="2" width="14.5703125" style="168" customWidth="1"/>
    <col min="3" max="3" width="66" style="168" customWidth="1"/>
    <col min="4" max="4" width="25.7109375" style="168" customWidth="1"/>
    <col min="5" max="5" width="9.140625" style="168"/>
    <col min="6" max="6" width="10" style="168" bestFit="1" customWidth="1"/>
    <col min="7" max="7" width="10.140625" style="168" bestFit="1" customWidth="1"/>
    <col min="8" max="8" width="10" style="168" bestFit="1" customWidth="1"/>
    <col min="9" max="16384" width="9.140625" style="168"/>
  </cols>
  <sheetData>
    <row r="1" spans="1:8" ht="15.75" x14ac:dyDescent="0.25">
      <c r="C1" s="190" t="s">
        <v>759</v>
      </c>
      <c r="D1" s="190"/>
      <c r="E1" s="181"/>
      <c r="F1" s="181"/>
      <c r="G1" s="181"/>
      <c r="H1" s="181"/>
    </row>
    <row r="2" spans="1:8" ht="15.75" x14ac:dyDescent="0.25">
      <c r="C2" s="190" t="s">
        <v>758</v>
      </c>
      <c r="D2" s="191"/>
      <c r="E2" s="172"/>
      <c r="F2" s="181"/>
      <c r="G2" s="172"/>
      <c r="H2" s="181"/>
    </row>
    <row r="3" spans="1:8" ht="15.75" x14ac:dyDescent="0.25">
      <c r="C3" s="190" t="s">
        <v>760</v>
      </c>
      <c r="D3" s="190"/>
      <c r="E3" s="181"/>
      <c r="F3" s="181"/>
      <c r="G3" s="181"/>
      <c r="H3" s="181"/>
    </row>
    <row r="4" spans="1:8" ht="15.75" x14ac:dyDescent="0.25">
      <c r="C4" s="868" t="s">
        <v>761</v>
      </c>
      <c r="D4" s="869"/>
      <c r="E4" s="870"/>
      <c r="F4" s="190"/>
      <c r="G4" s="190"/>
      <c r="H4" s="190"/>
    </row>
    <row r="5" spans="1:8" ht="15.75" x14ac:dyDescent="0.25">
      <c r="C5" s="868" t="s">
        <v>762</v>
      </c>
      <c r="D5" s="869"/>
      <c r="E5" s="869"/>
      <c r="F5" s="869"/>
      <c r="G5" s="869"/>
      <c r="H5" s="869"/>
    </row>
    <row r="6" spans="1:8" ht="15.75" x14ac:dyDescent="0.25">
      <c r="A6" s="2"/>
      <c r="B6" s="2"/>
      <c r="C6" s="190" t="s">
        <v>757</v>
      </c>
      <c r="D6" s="190"/>
      <c r="E6" s="868"/>
      <c r="F6" s="868"/>
      <c r="G6" s="868"/>
      <c r="H6" s="205"/>
    </row>
    <row r="7" spans="1:8" ht="15.75" x14ac:dyDescent="0.25">
      <c r="A7" s="2"/>
      <c r="B7" s="2"/>
      <c r="C7" s="181"/>
      <c r="D7" s="181"/>
      <c r="E7" s="181"/>
      <c r="F7" s="181"/>
      <c r="G7" s="181"/>
      <c r="H7" s="856"/>
    </row>
    <row r="8" spans="1:8" ht="15.75" x14ac:dyDescent="0.25">
      <c r="A8" s="2"/>
      <c r="B8" s="875" t="s">
        <v>490</v>
      </c>
      <c r="C8" s="875"/>
      <c r="D8" s="875"/>
      <c r="E8" s="875"/>
      <c r="F8" s="179"/>
      <c r="G8" s="179"/>
      <c r="H8" s="178"/>
    </row>
    <row r="9" spans="1:8" ht="15.75" x14ac:dyDescent="0.25">
      <c r="A9" s="2"/>
      <c r="B9" s="2"/>
      <c r="E9" s="179"/>
      <c r="F9" s="179"/>
      <c r="G9" s="179"/>
      <c r="H9" s="178"/>
    </row>
    <row r="10" spans="1:8" ht="16.5" thickBot="1" x14ac:dyDescent="0.3">
      <c r="D10" s="1" t="s">
        <v>585</v>
      </c>
    </row>
    <row r="11" spans="1:8" ht="48" thickBot="1" x14ac:dyDescent="0.25">
      <c r="A11" s="409" t="s">
        <v>262</v>
      </c>
      <c r="B11" s="410" t="s">
        <v>263</v>
      </c>
      <c r="C11" s="411" t="s">
        <v>264</v>
      </c>
      <c r="D11" s="412" t="s">
        <v>501</v>
      </c>
    </row>
    <row r="12" spans="1:8" ht="16.5" thickBot="1" x14ac:dyDescent="0.25">
      <c r="A12" s="413">
        <v>1</v>
      </c>
      <c r="B12" s="414">
        <v>2</v>
      </c>
      <c r="C12" s="415">
        <v>3</v>
      </c>
      <c r="D12" s="414">
        <v>4</v>
      </c>
    </row>
    <row r="13" spans="1:8" ht="16.5" thickBot="1" x14ac:dyDescent="0.25">
      <c r="A13" s="409">
        <v>1</v>
      </c>
      <c r="B13" s="416" t="s">
        <v>265</v>
      </c>
      <c r="C13" s="417" t="s">
        <v>385</v>
      </c>
      <c r="D13" s="418">
        <f>D14+D17+D21</f>
        <v>31622</v>
      </c>
    </row>
    <row r="14" spans="1:8" ht="15.75" x14ac:dyDescent="0.2">
      <c r="A14" s="419">
        <v>2</v>
      </c>
      <c r="B14" s="420" t="s">
        <v>266</v>
      </c>
      <c r="C14" s="421" t="s">
        <v>384</v>
      </c>
      <c r="D14" s="422">
        <f>D15+D16</f>
        <v>30107</v>
      </c>
    </row>
    <row r="15" spans="1:8" ht="15.75" x14ac:dyDescent="0.2">
      <c r="A15" s="423">
        <v>3</v>
      </c>
      <c r="B15" s="424" t="s">
        <v>267</v>
      </c>
      <c r="C15" s="425" t="s">
        <v>268</v>
      </c>
      <c r="D15" s="192">
        <f>30008+69</f>
        <v>30077</v>
      </c>
    </row>
    <row r="16" spans="1:8" ht="15.75" x14ac:dyDescent="0.2">
      <c r="A16" s="423">
        <v>4</v>
      </c>
      <c r="B16" s="424" t="s">
        <v>267</v>
      </c>
      <c r="C16" s="425" t="s">
        <v>435</v>
      </c>
      <c r="D16" s="192">
        <v>30</v>
      </c>
    </row>
    <row r="17" spans="1:8" ht="15.75" x14ac:dyDescent="0.2">
      <c r="A17" s="423">
        <v>5</v>
      </c>
      <c r="B17" s="426" t="s">
        <v>269</v>
      </c>
      <c r="C17" s="427" t="s">
        <v>386</v>
      </c>
      <c r="D17" s="428">
        <f>D18+D19+D20</f>
        <v>1385</v>
      </c>
    </row>
    <row r="18" spans="1:8" ht="15.75" x14ac:dyDescent="0.2">
      <c r="A18" s="423">
        <v>6</v>
      </c>
      <c r="B18" s="424" t="s">
        <v>270</v>
      </c>
      <c r="C18" s="425" t="s">
        <v>271</v>
      </c>
      <c r="D18" s="192">
        <v>1040</v>
      </c>
      <c r="E18" s="174"/>
    </row>
    <row r="19" spans="1:8" ht="15.75" x14ac:dyDescent="0.2">
      <c r="A19" s="423">
        <v>7</v>
      </c>
      <c r="B19" s="424" t="s">
        <v>272</v>
      </c>
      <c r="C19" s="425" t="s">
        <v>392</v>
      </c>
      <c r="D19" s="192">
        <v>25</v>
      </c>
    </row>
    <row r="20" spans="1:8" ht="15.75" x14ac:dyDescent="0.2">
      <c r="A20" s="423">
        <v>8</v>
      </c>
      <c r="B20" s="424" t="s">
        <v>273</v>
      </c>
      <c r="C20" s="425" t="s">
        <v>274</v>
      </c>
      <c r="D20" s="192">
        <v>320</v>
      </c>
    </row>
    <row r="21" spans="1:8" ht="15.75" x14ac:dyDescent="0.2">
      <c r="A21" s="423">
        <v>9</v>
      </c>
      <c r="B21" s="426" t="s">
        <v>275</v>
      </c>
      <c r="C21" s="427" t="s">
        <v>387</v>
      </c>
      <c r="D21" s="428">
        <f>D22</f>
        <v>130</v>
      </c>
    </row>
    <row r="22" spans="1:8" ht="16.5" thickBot="1" x14ac:dyDescent="0.25">
      <c r="A22" s="429">
        <v>10</v>
      </c>
      <c r="B22" s="430" t="s">
        <v>276</v>
      </c>
      <c r="C22" s="431" t="s">
        <v>277</v>
      </c>
      <c r="D22" s="432">
        <f>100+30</f>
        <v>130</v>
      </c>
    </row>
    <row r="23" spans="1:8" ht="16.5" thickBot="1" x14ac:dyDescent="0.25">
      <c r="A23" s="409">
        <v>11</v>
      </c>
      <c r="B23" s="416" t="s">
        <v>278</v>
      </c>
      <c r="C23" s="433" t="s">
        <v>720</v>
      </c>
      <c r="D23" s="434">
        <f>D27+D32+D53+D24</f>
        <v>21679.590760000003</v>
      </c>
      <c r="F23" s="174"/>
    </row>
    <row r="24" spans="1:8" ht="15.75" x14ac:dyDescent="0.2">
      <c r="A24" s="419">
        <v>12</v>
      </c>
      <c r="B24" s="435" t="s">
        <v>365</v>
      </c>
      <c r="C24" s="421" t="s">
        <v>366</v>
      </c>
      <c r="D24" s="436">
        <v>905.50099999999998</v>
      </c>
      <c r="H24" s="174"/>
    </row>
    <row r="25" spans="1:8" ht="15.75" x14ac:dyDescent="0.2">
      <c r="A25" s="423">
        <v>13</v>
      </c>
      <c r="B25" s="424" t="s">
        <v>444</v>
      </c>
      <c r="C25" s="425" t="s">
        <v>445</v>
      </c>
      <c r="D25" s="437">
        <v>905.50099999999998</v>
      </c>
    </row>
    <row r="26" spans="1:8" ht="15.75" x14ac:dyDescent="0.2">
      <c r="A26" s="423">
        <v>14</v>
      </c>
      <c r="B26" s="424" t="s">
        <v>446</v>
      </c>
      <c r="C26" s="425" t="s">
        <v>447</v>
      </c>
      <c r="D26" s="438"/>
    </row>
    <row r="27" spans="1:8" ht="15.75" x14ac:dyDescent="0.2">
      <c r="A27" s="423">
        <v>15</v>
      </c>
      <c r="B27" s="426" t="s">
        <v>279</v>
      </c>
      <c r="C27" s="427" t="s">
        <v>535</v>
      </c>
      <c r="D27" s="439">
        <f>D28+D29+D30+D31</f>
        <v>16266.776000000002</v>
      </c>
    </row>
    <row r="28" spans="1:8" ht="15.75" x14ac:dyDescent="0.2">
      <c r="A28" s="423">
        <v>16</v>
      </c>
      <c r="B28" s="424" t="s">
        <v>280</v>
      </c>
      <c r="C28" s="425" t="s">
        <v>281</v>
      </c>
      <c r="D28" s="440">
        <v>5322.1760000000004</v>
      </c>
    </row>
    <row r="29" spans="1:8" ht="15.75" x14ac:dyDescent="0.2">
      <c r="A29" s="423">
        <v>17</v>
      </c>
      <c r="B29" s="424" t="s">
        <v>282</v>
      </c>
      <c r="C29" s="425" t="s">
        <v>283</v>
      </c>
      <c r="D29" s="441">
        <v>10821.4</v>
      </c>
    </row>
    <row r="30" spans="1:8" ht="31.5" x14ac:dyDescent="0.25">
      <c r="A30" s="423">
        <v>18</v>
      </c>
      <c r="B30" s="424" t="s">
        <v>284</v>
      </c>
      <c r="C30" s="442" t="s">
        <v>438</v>
      </c>
      <c r="D30" s="441">
        <v>122.5</v>
      </c>
    </row>
    <row r="31" spans="1:8" ht="31.5" x14ac:dyDescent="0.25">
      <c r="A31" s="423">
        <v>19</v>
      </c>
      <c r="B31" s="424" t="s">
        <v>285</v>
      </c>
      <c r="C31" s="442" t="s">
        <v>393</v>
      </c>
      <c r="D31" s="441">
        <v>0.7</v>
      </c>
    </row>
    <row r="32" spans="1:8" ht="15.75" x14ac:dyDescent="0.25">
      <c r="A32" s="423">
        <v>20</v>
      </c>
      <c r="B32" s="426" t="s">
        <v>286</v>
      </c>
      <c r="C32" s="443" t="s">
        <v>719</v>
      </c>
      <c r="D32" s="444">
        <f>SUM(D33:D52)</f>
        <v>1995.4897599999999</v>
      </c>
    </row>
    <row r="33" spans="1:5" ht="31.5" x14ac:dyDescent="0.25">
      <c r="A33" s="423">
        <v>21</v>
      </c>
      <c r="B33" s="424" t="s">
        <v>287</v>
      </c>
      <c r="C33" s="442" t="s">
        <v>288</v>
      </c>
      <c r="D33" s="440">
        <v>190.5</v>
      </c>
    </row>
    <row r="34" spans="1:5" ht="15.75" x14ac:dyDescent="0.25">
      <c r="A34" s="423">
        <v>22</v>
      </c>
      <c r="B34" s="424" t="s">
        <v>362</v>
      </c>
      <c r="C34" s="445" t="s">
        <v>394</v>
      </c>
      <c r="D34" s="440">
        <v>148</v>
      </c>
    </row>
    <row r="35" spans="1:5" ht="31.5" x14ac:dyDescent="0.25">
      <c r="A35" s="423">
        <v>23</v>
      </c>
      <c r="B35" s="424" t="s">
        <v>406</v>
      </c>
      <c r="C35" s="442" t="s">
        <v>440</v>
      </c>
      <c r="D35" s="446">
        <v>53.194000000000003</v>
      </c>
    </row>
    <row r="36" spans="1:5" ht="31.5" x14ac:dyDescent="0.25">
      <c r="A36" s="423">
        <v>24</v>
      </c>
      <c r="B36" s="424" t="s">
        <v>407</v>
      </c>
      <c r="C36" s="442" t="s">
        <v>380</v>
      </c>
      <c r="D36" s="446">
        <v>74.704999999999998</v>
      </c>
    </row>
    <row r="37" spans="1:5" ht="15.75" x14ac:dyDescent="0.25">
      <c r="A37" s="423">
        <v>25</v>
      </c>
      <c r="B37" s="424" t="s">
        <v>408</v>
      </c>
      <c r="C37" s="442" t="s">
        <v>369</v>
      </c>
      <c r="D37" s="446">
        <v>98.540999999999997</v>
      </c>
      <c r="E37" s="201"/>
    </row>
    <row r="38" spans="1:5" ht="15.75" x14ac:dyDescent="0.25">
      <c r="A38" s="423">
        <v>26</v>
      </c>
      <c r="B38" s="424" t="s">
        <v>363</v>
      </c>
      <c r="C38" s="442" t="s">
        <v>376</v>
      </c>
      <c r="D38" s="446">
        <v>25.001000000000001</v>
      </c>
    </row>
    <row r="39" spans="1:5" ht="33" customHeight="1" x14ac:dyDescent="0.2">
      <c r="A39" s="423">
        <v>27</v>
      </c>
      <c r="B39" s="424" t="s">
        <v>584</v>
      </c>
      <c r="C39" s="447" t="s">
        <v>612</v>
      </c>
      <c r="D39" s="440">
        <v>49.692</v>
      </c>
    </row>
    <row r="40" spans="1:5" ht="57.75" customHeight="1" x14ac:dyDescent="0.25">
      <c r="A40" s="423">
        <v>28</v>
      </c>
      <c r="B40" s="424" t="s">
        <v>402</v>
      </c>
      <c r="C40" s="448" t="s">
        <v>495</v>
      </c>
      <c r="D40" s="449">
        <v>43.896000000000001</v>
      </c>
    </row>
    <row r="41" spans="1:5" ht="21" customHeight="1" x14ac:dyDescent="0.2">
      <c r="A41" s="423">
        <f>A40+1</f>
        <v>29</v>
      </c>
      <c r="B41" s="424" t="s">
        <v>403</v>
      </c>
      <c r="C41" s="450" t="s">
        <v>496</v>
      </c>
      <c r="D41" s="440">
        <v>111</v>
      </c>
    </row>
    <row r="42" spans="1:5" ht="30" x14ac:dyDescent="0.2">
      <c r="A42" s="423">
        <v>30</v>
      </c>
      <c r="B42" s="424" t="s">
        <v>404</v>
      </c>
      <c r="C42" s="451" t="s">
        <v>504</v>
      </c>
      <c r="D42" s="440">
        <v>77.256</v>
      </c>
    </row>
    <row r="43" spans="1:5" ht="15.75" x14ac:dyDescent="0.2">
      <c r="A43" s="452">
        <v>31</v>
      </c>
      <c r="B43" s="424" t="s">
        <v>507</v>
      </c>
      <c r="C43" s="453" t="s">
        <v>536</v>
      </c>
      <c r="D43" s="440">
        <v>63.222000000000001</v>
      </c>
    </row>
    <row r="44" spans="1:5" ht="36" customHeight="1" x14ac:dyDescent="0.2">
      <c r="A44" s="423">
        <v>32</v>
      </c>
      <c r="B44" s="424" t="s">
        <v>508</v>
      </c>
      <c r="C44" s="453" t="s">
        <v>505</v>
      </c>
      <c r="D44" s="440">
        <v>5.2954999999999997</v>
      </c>
    </row>
    <row r="45" spans="1:5" ht="15.75" x14ac:dyDescent="0.2">
      <c r="A45" s="452">
        <v>33</v>
      </c>
      <c r="B45" s="424" t="s">
        <v>587</v>
      </c>
      <c r="C45" s="451" t="s">
        <v>591</v>
      </c>
      <c r="D45" s="440">
        <v>18.571000000000002</v>
      </c>
      <c r="E45" s="201"/>
    </row>
    <row r="46" spans="1:5" ht="15.75" x14ac:dyDescent="0.2">
      <c r="A46" s="452">
        <v>34</v>
      </c>
      <c r="B46" s="424" t="s">
        <v>593</v>
      </c>
      <c r="C46" s="453" t="s">
        <v>588</v>
      </c>
      <c r="D46" s="440">
        <v>24.419</v>
      </c>
      <c r="E46" s="201"/>
    </row>
    <row r="47" spans="1:5" ht="36" customHeight="1" x14ac:dyDescent="0.2">
      <c r="A47" s="452">
        <v>35</v>
      </c>
      <c r="B47" s="424" t="s">
        <v>594</v>
      </c>
      <c r="C47" s="453" t="s">
        <v>592</v>
      </c>
      <c r="D47" s="440">
        <v>26.297999999999998</v>
      </c>
      <c r="E47" s="201"/>
    </row>
    <row r="48" spans="1:5" ht="15.75" x14ac:dyDescent="0.2">
      <c r="A48" s="452">
        <v>36</v>
      </c>
      <c r="B48" s="424" t="s">
        <v>595</v>
      </c>
      <c r="C48" s="453" t="s">
        <v>589</v>
      </c>
      <c r="D48" s="440">
        <v>947.8</v>
      </c>
      <c r="E48" s="201"/>
    </row>
    <row r="49" spans="1:5" ht="15.75" x14ac:dyDescent="0.2">
      <c r="A49" s="452">
        <v>37</v>
      </c>
      <c r="B49" s="424" t="s">
        <v>596</v>
      </c>
      <c r="C49" s="447" t="s">
        <v>599</v>
      </c>
      <c r="D49" s="454">
        <v>6.2552599999999998</v>
      </c>
      <c r="E49" s="201"/>
    </row>
    <row r="50" spans="1:5" ht="49.5" customHeight="1" x14ac:dyDescent="0.25">
      <c r="A50" s="452">
        <v>38</v>
      </c>
      <c r="B50" s="455" t="s">
        <v>652</v>
      </c>
      <c r="C50" s="456" t="s">
        <v>653</v>
      </c>
      <c r="D50" s="440">
        <v>8.64</v>
      </c>
      <c r="E50" s="201"/>
    </row>
    <row r="51" spans="1:5" ht="78.75" customHeight="1" x14ac:dyDescent="0.25">
      <c r="A51" s="452">
        <v>39</v>
      </c>
      <c r="B51" s="455" t="s">
        <v>675</v>
      </c>
      <c r="C51" s="457" t="s">
        <v>668</v>
      </c>
      <c r="D51" s="457">
        <v>16.759</v>
      </c>
      <c r="E51" s="201"/>
    </row>
    <row r="52" spans="1:5" ht="49.5" customHeight="1" x14ac:dyDescent="0.25">
      <c r="A52" s="452">
        <v>40</v>
      </c>
      <c r="B52" s="455" t="s">
        <v>676</v>
      </c>
      <c r="C52" s="456" t="s">
        <v>670</v>
      </c>
      <c r="D52" s="458">
        <v>6.4450000000000003</v>
      </c>
      <c r="E52" s="201"/>
    </row>
    <row r="53" spans="1:5" ht="15.75" x14ac:dyDescent="0.25">
      <c r="A53" s="423">
        <v>41</v>
      </c>
      <c r="B53" s="426" t="s">
        <v>289</v>
      </c>
      <c r="C53" s="443" t="s">
        <v>682</v>
      </c>
      <c r="D53" s="439">
        <f>D54+D55+D56+D57+D58</f>
        <v>2511.8240000000001</v>
      </c>
      <c r="E53" s="201"/>
    </row>
    <row r="54" spans="1:5" ht="15.75" x14ac:dyDescent="0.25">
      <c r="A54" s="423">
        <v>42</v>
      </c>
      <c r="B54" s="424" t="s">
        <v>290</v>
      </c>
      <c r="C54" s="445" t="s">
        <v>598</v>
      </c>
      <c r="D54" s="446">
        <v>523</v>
      </c>
      <c r="E54" s="201"/>
    </row>
    <row r="55" spans="1:5" ht="36" customHeight="1" x14ac:dyDescent="0.25">
      <c r="A55" s="452">
        <v>43</v>
      </c>
      <c r="B55" s="455" t="s">
        <v>291</v>
      </c>
      <c r="C55" s="457" t="s">
        <v>400</v>
      </c>
      <c r="D55" s="446">
        <v>35.996000000000002</v>
      </c>
      <c r="E55" s="201"/>
    </row>
    <row r="56" spans="1:5" ht="15.75" x14ac:dyDescent="0.2">
      <c r="A56" s="452">
        <v>44</v>
      </c>
      <c r="B56" s="455" t="s">
        <v>590</v>
      </c>
      <c r="C56" s="451" t="s">
        <v>589</v>
      </c>
      <c r="D56" s="446">
        <v>1551.7</v>
      </c>
      <c r="E56" s="201"/>
    </row>
    <row r="57" spans="1:5" ht="30" x14ac:dyDescent="0.2">
      <c r="A57" s="460">
        <v>45</v>
      </c>
      <c r="B57" s="455" t="s">
        <v>680</v>
      </c>
      <c r="C57" s="447" t="s">
        <v>669</v>
      </c>
      <c r="D57" s="446">
        <v>163</v>
      </c>
      <c r="E57" s="201"/>
    </row>
    <row r="58" spans="1:5" ht="30.75" thickBot="1" x14ac:dyDescent="0.25">
      <c r="A58" s="460">
        <v>46</v>
      </c>
      <c r="B58" s="455" t="s">
        <v>681</v>
      </c>
      <c r="C58" s="447" t="s">
        <v>673</v>
      </c>
      <c r="D58" s="459">
        <v>238.12799999999999</v>
      </c>
      <c r="E58" s="201"/>
    </row>
    <row r="59" spans="1:5" ht="16.5" thickBot="1" x14ac:dyDescent="0.25">
      <c r="A59" s="409">
        <v>47</v>
      </c>
      <c r="B59" s="416" t="s">
        <v>292</v>
      </c>
      <c r="C59" s="417" t="s">
        <v>679</v>
      </c>
      <c r="D59" s="418">
        <f>D60+D65+D66+D69+D70</f>
        <v>3369.4339999999997</v>
      </c>
      <c r="E59" s="201"/>
    </row>
    <row r="60" spans="1:5" ht="15.75" x14ac:dyDescent="0.2">
      <c r="A60" s="419">
        <v>48</v>
      </c>
      <c r="B60" s="435" t="s">
        <v>293</v>
      </c>
      <c r="C60" s="421" t="s">
        <v>677</v>
      </c>
      <c r="D60" s="422">
        <f>D61+D63+D64+D62</f>
        <v>631.30100000000004</v>
      </c>
      <c r="E60" s="201"/>
    </row>
    <row r="61" spans="1:5" ht="31.5" x14ac:dyDescent="0.2">
      <c r="A61" s="423">
        <v>49</v>
      </c>
      <c r="B61" s="424" t="s">
        <v>294</v>
      </c>
      <c r="C61" s="425" t="s">
        <v>295</v>
      </c>
      <c r="D61" s="192">
        <v>400</v>
      </c>
      <c r="E61" s="201"/>
    </row>
    <row r="62" spans="1:5" ht="15.75" x14ac:dyDescent="0.2">
      <c r="A62" s="423">
        <v>50</v>
      </c>
      <c r="B62" s="424" t="s">
        <v>422</v>
      </c>
      <c r="C62" s="425" t="s">
        <v>423</v>
      </c>
      <c r="D62" s="192">
        <f>20.201+20</f>
        <v>40.201000000000001</v>
      </c>
      <c r="E62" s="201"/>
    </row>
    <row r="63" spans="1:5" ht="15.75" x14ac:dyDescent="0.2">
      <c r="A63" s="423">
        <v>51</v>
      </c>
      <c r="B63" s="424" t="s">
        <v>410</v>
      </c>
      <c r="C63" s="425" t="s">
        <v>296</v>
      </c>
      <c r="D63" s="192">
        <f>20+18.1</f>
        <v>38.1</v>
      </c>
      <c r="E63" s="201"/>
    </row>
    <row r="64" spans="1:5" ht="15.75" x14ac:dyDescent="0.2">
      <c r="A64" s="423">
        <v>52</v>
      </c>
      <c r="B64" s="424" t="s">
        <v>297</v>
      </c>
      <c r="C64" s="425" t="s">
        <v>411</v>
      </c>
      <c r="D64" s="192">
        <f>152+1</f>
        <v>153</v>
      </c>
      <c r="E64" s="201"/>
    </row>
    <row r="65" spans="1:6" ht="15.75" x14ac:dyDescent="0.2">
      <c r="A65" s="423">
        <v>53</v>
      </c>
      <c r="B65" s="426" t="s">
        <v>412</v>
      </c>
      <c r="C65" s="427" t="s">
        <v>298</v>
      </c>
      <c r="D65" s="461">
        <f>1545.801+4.5+25+1.5</f>
        <v>1576.8009999999999</v>
      </c>
      <c r="E65" s="201"/>
    </row>
    <row r="66" spans="1:6" ht="15.75" x14ac:dyDescent="0.2">
      <c r="A66" s="423">
        <v>54</v>
      </c>
      <c r="B66" s="426" t="s">
        <v>413</v>
      </c>
      <c r="C66" s="427" t="s">
        <v>678</v>
      </c>
      <c r="D66" s="428">
        <f>D67+D68</f>
        <v>1125</v>
      </c>
      <c r="E66" s="201"/>
    </row>
    <row r="67" spans="1:6" ht="15.75" x14ac:dyDescent="0.2">
      <c r="A67" s="423">
        <v>55</v>
      </c>
      <c r="B67" s="424" t="s">
        <v>414</v>
      </c>
      <c r="C67" s="425" t="s">
        <v>299</v>
      </c>
      <c r="D67" s="192">
        <v>40</v>
      </c>
      <c r="E67" s="201"/>
    </row>
    <row r="68" spans="1:6" ht="15.75" x14ac:dyDescent="0.2">
      <c r="A68" s="423">
        <v>56</v>
      </c>
      <c r="B68" s="424" t="s">
        <v>415</v>
      </c>
      <c r="C68" s="425" t="s">
        <v>300</v>
      </c>
      <c r="D68" s="192">
        <v>1085</v>
      </c>
      <c r="E68" s="201"/>
    </row>
    <row r="69" spans="1:6" ht="15.75" x14ac:dyDescent="0.2">
      <c r="A69" s="423">
        <v>57</v>
      </c>
      <c r="B69" s="426" t="s">
        <v>301</v>
      </c>
      <c r="C69" s="427" t="s">
        <v>302</v>
      </c>
      <c r="D69" s="428">
        <f>12+7</f>
        <v>19</v>
      </c>
      <c r="E69" s="201"/>
    </row>
    <row r="70" spans="1:6" ht="16.5" thickBot="1" x14ac:dyDescent="0.25">
      <c r="A70" s="429">
        <v>58</v>
      </c>
      <c r="B70" s="462" t="s">
        <v>416</v>
      </c>
      <c r="C70" s="463" t="s">
        <v>303</v>
      </c>
      <c r="D70" s="464">
        <f>12+5.332</f>
        <v>17.332000000000001</v>
      </c>
      <c r="E70" s="201"/>
    </row>
    <row r="71" spans="1:6" ht="43.5" customHeight="1" thickBot="1" x14ac:dyDescent="0.3">
      <c r="A71" s="409">
        <v>59</v>
      </c>
      <c r="B71" s="416" t="s">
        <v>304</v>
      </c>
      <c r="C71" s="465" t="s">
        <v>305</v>
      </c>
      <c r="D71" s="418">
        <f>40+12</f>
        <v>52</v>
      </c>
      <c r="E71" s="201"/>
    </row>
    <row r="72" spans="1:6" ht="16.5" thickBot="1" x14ac:dyDescent="0.25">
      <c r="A72" s="409">
        <v>60</v>
      </c>
      <c r="B72" s="416"/>
      <c r="C72" s="417" t="s">
        <v>683</v>
      </c>
      <c r="D72" s="434">
        <f>D13+D23+D59+D71</f>
        <v>56723.024760000008</v>
      </c>
      <c r="E72" s="201"/>
      <c r="F72" s="174"/>
    </row>
    <row r="73" spans="1:6" ht="15.75" x14ac:dyDescent="0.2">
      <c r="A73" s="871">
        <v>61</v>
      </c>
      <c r="B73" s="873"/>
      <c r="C73" s="466" t="s">
        <v>306</v>
      </c>
      <c r="D73" s="467">
        <v>3153.0390000000002</v>
      </c>
      <c r="E73" s="201"/>
    </row>
    <row r="74" spans="1:6" ht="15.75" x14ac:dyDescent="0.25">
      <c r="A74" s="872"/>
      <c r="B74" s="874"/>
      <c r="C74" s="425" t="s">
        <v>307</v>
      </c>
      <c r="D74" s="468"/>
      <c r="E74" s="201"/>
    </row>
    <row r="75" spans="1:6" ht="15.75" x14ac:dyDescent="0.25">
      <c r="A75" s="872"/>
      <c r="B75" s="874"/>
      <c r="C75" s="425" t="s">
        <v>308</v>
      </c>
      <c r="D75" s="468"/>
      <c r="E75" s="201"/>
    </row>
    <row r="76" spans="1:6" ht="15.75" x14ac:dyDescent="0.25">
      <c r="A76" s="872"/>
      <c r="B76" s="874"/>
      <c r="C76" s="445" t="s">
        <v>309</v>
      </c>
      <c r="D76" s="468"/>
      <c r="E76" s="201"/>
    </row>
    <row r="77" spans="1:6" ht="16.5" thickBot="1" x14ac:dyDescent="0.3">
      <c r="A77" s="469">
        <v>62</v>
      </c>
      <c r="B77" s="470"/>
      <c r="C77" s="431" t="s">
        <v>367</v>
      </c>
      <c r="D77" s="471">
        <v>110</v>
      </c>
      <c r="E77" s="201"/>
    </row>
    <row r="78" spans="1:6" ht="16.5" thickBot="1" x14ac:dyDescent="0.3">
      <c r="A78" s="472">
        <v>63</v>
      </c>
      <c r="B78" s="473"/>
      <c r="C78" s="433" t="s">
        <v>361</v>
      </c>
      <c r="D78" s="474">
        <f>D72+D73+D77</f>
        <v>59986.063760000005</v>
      </c>
      <c r="E78" s="202"/>
    </row>
    <row r="80" spans="1:6" x14ac:dyDescent="0.2">
      <c r="D80" s="173"/>
    </row>
  </sheetData>
  <mergeCells count="6">
    <mergeCell ref="C4:E4"/>
    <mergeCell ref="A73:A76"/>
    <mergeCell ref="B73:B76"/>
    <mergeCell ref="E6:G6"/>
    <mergeCell ref="C5:H5"/>
    <mergeCell ref="B8:E8"/>
  </mergeCells>
  <pageMargins left="0.62992125984251968" right="0" top="0.74803149606299213" bottom="0.74803149606299213" header="0.31496062992125984" footer="0.31496062992125984"/>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79"/>
  <sheetViews>
    <sheetView zoomScaleNormal="100" workbookViewId="0">
      <selection activeCell="D7" sqref="D7"/>
    </sheetView>
  </sheetViews>
  <sheetFormatPr defaultRowHeight="12.75" x14ac:dyDescent="0.2"/>
  <cols>
    <col min="1" max="1" width="4.42578125" customWidth="1"/>
    <col min="2" max="2" width="4.5703125" customWidth="1"/>
    <col min="3" max="3" width="74.85546875" customWidth="1"/>
    <col min="4" max="4" width="26.42578125" customWidth="1"/>
    <col min="5" max="5" width="11.7109375" customWidth="1"/>
    <col min="6" max="6" width="10.5703125" bestFit="1" customWidth="1"/>
  </cols>
  <sheetData>
    <row r="1" spans="2:8" ht="16.5" customHeight="1" x14ac:dyDescent="0.25">
      <c r="B1" s="168"/>
      <c r="C1" s="879" t="s">
        <v>578</v>
      </c>
      <c r="D1" s="877"/>
      <c r="E1" s="877"/>
      <c r="F1" s="877"/>
      <c r="G1" s="853"/>
      <c r="H1" s="853"/>
    </row>
    <row r="2" spans="2:8" ht="16.5" customHeight="1" x14ac:dyDescent="0.25">
      <c r="B2" s="168"/>
      <c r="C2" s="879" t="s">
        <v>752</v>
      </c>
      <c r="D2" s="877"/>
      <c r="E2" s="877"/>
      <c r="F2" s="877"/>
      <c r="G2" s="853"/>
      <c r="H2" s="853"/>
    </row>
    <row r="3" spans="2:8" ht="16.5" customHeight="1" x14ac:dyDescent="0.25">
      <c r="B3" s="168"/>
      <c r="C3" s="879" t="s">
        <v>753</v>
      </c>
      <c r="D3" s="877"/>
      <c r="E3" s="877"/>
      <c r="F3" s="877"/>
      <c r="G3" s="853"/>
      <c r="H3" s="853"/>
    </row>
    <row r="4" spans="2:8" ht="16.5" customHeight="1" x14ac:dyDescent="0.25">
      <c r="B4" s="168"/>
      <c r="C4" s="876" t="s">
        <v>756</v>
      </c>
      <c r="D4" s="878"/>
      <c r="E4" s="877"/>
      <c r="F4" s="877"/>
      <c r="G4" s="877"/>
      <c r="H4" s="854"/>
    </row>
    <row r="5" spans="2:8" ht="16.5" customHeight="1" x14ac:dyDescent="0.25">
      <c r="B5" s="168"/>
      <c r="C5" s="876" t="s">
        <v>754</v>
      </c>
      <c r="D5" s="878"/>
      <c r="E5" s="878"/>
      <c r="F5" s="878"/>
      <c r="G5" s="878"/>
      <c r="H5" s="878"/>
    </row>
    <row r="6" spans="2:8" ht="16.5" customHeight="1" x14ac:dyDescent="0.25">
      <c r="B6" s="168"/>
      <c r="C6" s="876" t="s">
        <v>755</v>
      </c>
      <c r="D6" s="877"/>
      <c r="E6" s="877"/>
      <c r="F6" s="877"/>
      <c r="G6" s="877"/>
      <c r="H6" s="855"/>
    </row>
    <row r="7" spans="2:8" ht="43.5" customHeight="1" x14ac:dyDescent="0.25">
      <c r="B7" s="168"/>
      <c r="C7" s="169" t="s">
        <v>502</v>
      </c>
      <c r="D7" s="6"/>
    </row>
    <row r="8" spans="2:8" ht="24" customHeight="1" x14ac:dyDescent="0.25">
      <c r="B8" s="1"/>
      <c r="C8" s="1" t="s">
        <v>409</v>
      </c>
      <c r="D8" s="1" t="s">
        <v>418</v>
      </c>
    </row>
    <row r="9" spans="2:8" ht="16.5" thickBot="1" x14ac:dyDescent="0.25">
      <c r="B9" s="203"/>
    </row>
    <row r="10" spans="2:8" ht="32.25" thickBot="1" x14ac:dyDescent="0.25">
      <c r="B10" s="475" t="s">
        <v>0</v>
      </c>
      <c r="C10" s="476" t="s">
        <v>310</v>
      </c>
      <c r="D10" s="477" t="s">
        <v>503</v>
      </c>
    </row>
    <row r="11" spans="2:8" ht="16.5" thickBot="1" x14ac:dyDescent="0.25">
      <c r="B11" s="478">
        <v>1</v>
      </c>
      <c r="C11" s="479" t="s">
        <v>420</v>
      </c>
      <c r="D11" s="480">
        <f>D12+D13+D14</f>
        <v>33.700000000000003</v>
      </c>
    </row>
    <row r="12" spans="2:8" ht="15.75" x14ac:dyDescent="0.2">
      <c r="B12" s="481">
        <f>B11+1</f>
        <v>2</v>
      </c>
      <c r="C12" s="482" t="s">
        <v>311</v>
      </c>
      <c r="D12" s="483">
        <v>26.7</v>
      </c>
    </row>
    <row r="13" spans="2:8" ht="15.75" x14ac:dyDescent="0.2">
      <c r="B13" s="481">
        <f t="shared" ref="B13:B64" si="0">B12+1</f>
        <v>3</v>
      </c>
      <c r="C13" s="484" t="s">
        <v>312</v>
      </c>
      <c r="D13" s="485">
        <v>6.5</v>
      </c>
    </row>
    <row r="14" spans="2:8" ht="16.5" thickBot="1" x14ac:dyDescent="0.25">
      <c r="B14" s="486">
        <f t="shared" si="0"/>
        <v>4</v>
      </c>
      <c r="C14" s="487" t="s">
        <v>313</v>
      </c>
      <c r="D14" s="488">
        <v>0.5</v>
      </c>
    </row>
    <row r="15" spans="2:8" ht="16.5" thickBot="1" x14ac:dyDescent="0.25">
      <c r="B15" s="489">
        <f t="shared" si="0"/>
        <v>5</v>
      </c>
      <c r="C15" s="479" t="s">
        <v>421</v>
      </c>
      <c r="D15" s="490">
        <f>D16+D17+D18</f>
        <v>1471.8000000000002</v>
      </c>
    </row>
    <row r="16" spans="2:8" ht="15.75" x14ac:dyDescent="0.2">
      <c r="B16" s="481">
        <f t="shared" si="0"/>
        <v>6</v>
      </c>
      <c r="C16" s="482" t="s">
        <v>1</v>
      </c>
      <c r="D16" s="483">
        <v>1445</v>
      </c>
    </row>
    <row r="17" spans="2:4" ht="15.75" x14ac:dyDescent="0.2">
      <c r="B17" s="481">
        <f t="shared" si="0"/>
        <v>7</v>
      </c>
      <c r="C17" s="484" t="s">
        <v>314</v>
      </c>
      <c r="D17" s="485">
        <v>23.9</v>
      </c>
    </row>
    <row r="18" spans="2:4" ht="16.5" thickBot="1" x14ac:dyDescent="0.25">
      <c r="B18" s="486">
        <f t="shared" si="0"/>
        <v>8</v>
      </c>
      <c r="C18" s="487" t="s">
        <v>315</v>
      </c>
      <c r="D18" s="488">
        <v>2.9</v>
      </c>
    </row>
    <row r="19" spans="2:4" ht="16.5" thickBot="1" x14ac:dyDescent="0.25">
      <c r="B19" s="489">
        <f t="shared" si="0"/>
        <v>9</v>
      </c>
      <c r="C19" s="479" t="s">
        <v>316</v>
      </c>
      <c r="D19" s="490">
        <f>D20+D21+D22+D23+D24+D25</f>
        <v>2873.9</v>
      </c>
    </row>
    <row r="20" spans="2:4" ht="15.75" x14ac:dyDescent="0.2">
      <c r="B20" s="481">
        <f t="shared" si="0"/>
        <v>10</v>
      </c>
      <c r="C20" s="482" t="s">
        <v>317</v>
      </c>
      <c r="D20" s="483">
        <v>273.10000000000002</v>
      </c>
    </row>
    <row r="21" spans="2:4" ht="15.75" x14ac:dyDescent="0.2">
      <c r="B21" s="481">
        <f t="shared" si="0"/>
        <v>11</v>
      </c>
      <c r="C21" s="484" t="s">
        <v>2</v>
      </c>
      <c r="D21" s="485">
        <v>596.79999999999995</v>
      </c>
    </row>
    <row r="22" spans="2:4" ht="15.75" x14ac:dyDescent="0.2">
      <c r="B22" s="481">
        <f t="shared" si="0"/>
        <v>12</v>
      </c>
      <c r="C22" s="484" t="s">
        <v>318</v>
      </c>
      <c r="D22" s="485">
        <v>1750.4</v>
      </c>
    </row>
    <row r="23" spans="2:4" ht="15.75" x14ac:dyDescent="0.2">
      <c r="B23" s="481">
        <f t="shared" si="0"/>
        <v>13</v>
      </c>
      <c r="C23" s="484" t="s">
        <v>319</v>
      </c>
      <c r="D23" s="485">
        <v>20.8</v>
      </c>
    </row>
    <row r="24" spans="2:4" ht="15.75" x14ac:dyDescent="0.2">
      <c r="B24" s="481">
        <f t="shared" si="0"/>
        <v>14</v>
      </c>
      <c r="C24" s="484" t="s">
        <v>207</v>
      </c>
      <c r="D24" s="485">
        <v>229.2</v>
      </c>
    </row>
    <row r="25" spans="2:4" ht="16.5" thickBot="1" x14ac:dyDescent="0.25">
      <c r="B25" s="486">
        <f t="shared" si="0"/>
        <v>15</v>
      </c>
      <c r="C25" s="487" t="s">
        <v>260</v>
      </c>
      <c r="D25" s="488">
        <v>3.6</v>
      </c>
    </row>
    <row r="26" spans="2:4" ht="16.5" thickBot="1" x14ac:dyDescent="0.25">
      <c r="B26" s="489">
        <f t="shared" si="0"/>
        <v>16</v>
      </c>
      <c r="C26" s="479" t="s">
        <v>320</v>
      </c>
      <c r="D26" s="490">
        <f>D27+D28</f>
        <v>321.18</v>
      </c>
    </row>
    <row r="27" spans="2:4" ht="15.75" x14ac:dyDescent="0.2">
      <c r="B27" s="481">
        <f t="shared" si="0"/>
        <v>17</v>
      </c>
      <c r="C27" s="482" t="s">
        <v>321</v>
      </c>
      <c r="D27" s="483">
        <v>316.08</v>
      </c>
    </row>
    <row r="28" spans="2:4" ht="16.5" thickBot="1" x14ac:dyDescent="0.25">
      <c r="B28" s="486">
        <f t="shared" si="0"/>
        <v>18</v>
      </c>
      <c r="C28" s="487" t="s">
        <v>322</v>
      </c>
      <c r="D28" s="488">
        <v>5.0999999999999996</v>
      </c>
    </row>
    <row r="29" spans="2:4" ht="16.5" thickBot="1" x14ac:dyDescent="0.25">
      <c r="B29" s="489">
        <f t="shared" si="0"/>
        <v>19</v>
      </c>
      <c r="C29" s="479" t="s">
        <v>323</v>
      </c>
      <c r="D29" s="490">
        <f>D30+D31</f>
        <v>563.79999999999995</v>
      </c>
    </row>
    <row r="30" spans="2:4" ht="15.75" x14ac:dyDescent="0.2">
      <c r="B30" s="481">
        <f t="shared" si="0"/>
        <v>20</v>
      </c>
      <c r="C30" s="482" t="s">
        <v>324</v>
      </c>
      <c r="D30" s="483">
        <v>276.60000000000002</v>
      </c>
    </row>
    <row r="31" spans="2:4" ht="16.5" thickBot="1" x14ac:dyDescent="0.25">
      <c r="B31" s="486">
        <f t="shared" si="0"/>
        <v>21</v>
      </c>
      <c r="C31" s="487" t="s">
        <v>325</v>
      </c>
      <c r="D31" s="488">
        <v>287.2</v>
      </c>
    </row>
    <row r="32" spans="2:4" ht="16.5" thickBot="1" x14ac:dyDescent="0.25">
      <c r="B32" s="489">
        <f>B31+1</f>
        <v>22</v>
      </c>
      <c r="C32" s="479" t="s">
        <v>326</v>
      </c>
      <c r="D32" s="490">
        <f>D33</f>
        <v>9.6999999999999993</v>
      </c>
    </row>
    <row r="33" spans="2:4" ht="16.5" thickBot="1" x14ac:dyDescent="0.25">
      <c r="B33" s="486">
        <f t="shared" si="0"/>
        <v>23</v>
      </c>
      <c r="C33" s="491" t="s">
        <v>327</v>
      </c>
      <c r="D33" s="492">
        <v>9.6999999999999993</v>
      </c>
    </row>
    <row r="34" spans="2:4" ht="16.5" thickBot="1" x14ac:dyDescent="0.25">
      <c r="B34" s="489">
        <f t="shared" si="0"/>
        <v>24</v>
      </c>
      <c r="C34" s="479" t="s">
        <v>328</v>
      </c>
      <c r="D34" s="490">
        <f>D35</f>
        <v>30.2</v>
      </c>
    </row>
    <row r="35" spans="2:4" ht="16.5" thickBot="1" x14ac:dyDescent="0.25">
      <c r="B35" s="486">
        <f t="shared" si="0"/>
        <v>25</v>
      </c>
      <c r="C35" s="491" t="s">
        <v>329</v>
      </c>
      <c r="D35" s="492">
        <v>30.2</v>
      </c>
    </row>
    <row r="36" spans="2:4" ht="16.5" thickBot="1" x14ac:dyDescent="0.25">
      <c r="B36" s="489">
        <f>B35+1</f>
        <v>26</v>
      </c>
      <c r="C36" s="479" t="s">
        <v>330</v>
      </c>
      <c r="D36" s="490">
        <f>D37</f>
        <v>0.7</v>
      </c>
    </row>
    <row r="37" spans="2:4" ht="16.5" thickBot="1" x14ac:dyDescent="0.25">
      <c r="B37" s="486">
        <f t="shared" si="0"/>
        <v>27</v>
      </c>
      <c r="C37" s="491" t="s">
        <v>331</v>
      </c>
      <c r="D37" s="492">
        <v>0.7</v>
      </c>
    </row>
    <row r="38" spans="2:4" ht="16.5" thickBot="1" x14ac:dyDescent="0.25">
      <c r="B38" s="489">
        <f t="shared" si="0"/>
        <v>28</v>
      </c>
      <c r="C38" s="479" t="s">
        <v>332</v>
      </c>
      <c r="D38" s="490">
        <f>D39</f>
        <v>9</v>
      </c>
    </row>
    <row r="39" spans="2:4" ht="16.5" thickBot="1" x14ac:dyDescent="0.25">
      <c r="B39" s="493">
        <f t="shared" si="0"/>
        <v>29</v>
      </c>
      <c r="C39" s="491" t="s">
        <v>333</v>
      </c>
      <c r="D39" s="492">
        <v>9</v>
      </c>
    </row>
    <row r="40" spans="2:4" ht="16.5" thickBot="1" x14ac:dyDescent="0.3">
      <c r="B40" s="839">
        <v>30</v>
      </c>
      <c r="C40" s="841" t="s">
        <v>378</v>
      </c>
      <c r="D40" s="490">
        <f>D41</f>
        <v>8.1959999999999997</v>
      </c>
    </row>
    <row r="41" spans="2:4" ht="16.5" thickBot="1" x14ac:dyDescent="0.3">
      <c r="B41" s="843">
        <v>31</v>
      </c>
      <c r="C41" s="842" t="s">
        <v>354</v>
      </c>
      <c r="D41" s="495">
        <v>8.1959999999999997</v>
      </c>
    </row>
    <row r="42" spans="2:4" ht="32.25" thickBot="1" x14ac:dyDescent="0.25">
      <c r="B42" s="498">
        <v>32</v>
      </c>
      <c r="C42" s="496" t="s">
        <v>623</v>
      </c>
      <c r="D42" s="480">
        <f>D11+D15+D19+D26+D29+D32+D34+D36+D38+D40</f>
        <v>5322.1760000000004</v>
      </c>
    </row>
    <row r="43" spans="2:4" ht="16.5" thickBot="1" x14ac:dyDescent="0.25">
      <c r="B43" s="486">
        <f t="shared" si="0"/>
        <v>33</v>
      </c>
      <c r="C43" s="496" t="s">
        <v>684</v>
      </c>
      <c r="D43" s="480">
        <f>D44+D55+D57+D71+D73</f>
        <v>15451.913759999998</v>
      </c>
    </row>
    <row r="44" spans="2:4" ht="16.5" thickBot="1" x14ac:dyDescent="0.25">
      <c r="B44" s="847">
        <f t="shared" si="0"/>
        <v>34</v>
      </c>
      <c r="C44" s="479" t="s">
        <v>334</v>
      </c>
      <c r="D44" s="490">
        <f>SUM(D45:D54)</f>
        <v>11773.398999999999</v>
      </c>
    </row>
    <row r="45" spans="2:4" ht="15.75" x14ac:dyDescent="0.2">
      <c r="B45" s="839">
        <f t="shared" si="0"/>
        <v>35</v>
      </c>
      <c r="C45" s="840" t="s">
        <v>283</v>
      </c>
      <c r="D45" s="483">
        <v>10821.4</v>
      </c>
    </row>
    <row r="46" spans="2:4" ht="31.5" x14ac:dyDescent="0.2">
      <c r="B46" s="843">
        <f t="shared" si="0"/>
        <v>36</v>
      </c>
      <c r="C46" s="836" t="s">
        <v>436</v>
      </c>
      <c r="D46" s="485">
        <v>122.5</v>
      </c>
    </row>
    <row r="47" spans="2:4" ht="31.5" x14ac:dyDescent="0.2">
      <c r="B47" s="843">
        <f t="shared" si="0"/>
        <v>37</v>
      </c>
      <c r="C47" s="836" t="s">
        <v>395</v>
      </c>
      <c r="D47" s="485">
        <v>0.7</v>
      </c>
    </row>
    <row r="48" spans="2:4" ht="15.75" x14ac:dyDescent="0.2">
      <c r="B48" s="843">
        <f>B47+1</f>
        <v>38</v>
      </c>
      <c r="C48" s="836" t="s">
        <v>396</v>
      </c>
      <c r="D48" s="485">
        <v>148</v>
      </c>
    </row>
    <row r="49" spans="2:5" ht="15.75" x14ac:dyDescent="0.2">
      <c r="B49" s="843">
        <f t="shared" si="0"/>
        <v>39</v>
      </c>
      <c r="C49" s="837" t="s">
        <v>536</v>
      </c>
      <c r="D49" s="497">
        <v>63.222000000000001</v>
      </c>
    </row>
    <row r="50" spans="2:5" ht="31.5" x14ac:dyDescent="0.2">
      <c r="B50" s="839">
        <f t="shared" si="0"/>
        <v>40</v>
      </c>
      <c r="C50" s="836" t="s">
        <v>437</v>
      </c>
      <c r="D50" s="441">
        <v>53.194000000000003</v>
      </c>
    </row>
    <row r="51" spans="2:5" ht="31.5" x14ac:dyDescent="0.2">
      <c r="B51" s="839">
        <v>41</v>
      </c>
      <c r="C51" s="837" t="s">
        <v>600</v>
      </c>
      <c r="D51" s="441">
        <v>26.297999999999998</v>
      </c>
      <c r="E51" s="170"/>
    </row>
    <row r="52" spans="2:5" ht="15.75" x14ac:dyDescent="0.2">
      <c r="B52" s="839">
        <v>42</v>
      </c>
      <c r="C52" s="836" t="s">
        <v>597</v>
      </c>
      <c r="D52" s="492">
        <v>523</v>
      </c>
    </row>
    <row r="53" spans="2:5" ht="47.25" x14ac:dyDescent="0.25">
      <c r="B53" s="839">
        <v>43</v>
      </c>
      <c r="C53" s="838" t="s">
        <v>653</v>
      </c>
      <c r="D53" s="440">
        <v>8.64</v>
      </c>
    </row>
    <row r="54" spans="2:5" ht="48" thickBot="1" x14ac:dyDescent="0.3">
      <c r="B54" s="848">
        <v>44</v>
      </c>
      <c r="C54" s="456" t="s">
        <v>670</v>
      </c>
      <c r="D54" s="458">
        <v>6.4450000000000003</v>
      </c>
    </row>
    <row r="55" spans="2:5" ht="16.5" thickBot="1" x14ac:dyDescent="0.25">
      <c r="B55" s="849">
        <v>45</v>
      </c>
      <c r="C55" s="844" t="s">
        <v>337</v>
      </c>
      <c r="D55" s="490">
        <f>D56</f>
        <v>35.996000000000002</v>
      </c>
    </row>
    <row r="56" spans="2:5" ht="16.5" thickBot="1" x14ac:dyDescent="0.25">
      <c r="B56" s="850">
        <v>46</v>
      </c>
      <c r="C56" s="845" t="s">
        <v>338</v>
      </c>
      <c r="D56" s="492">
        <v>35.996000000000002</v>
      </c>
    </row>
    <row r="57" spans="2:5" ht="16.5" thickBot="1" x14ac:dyDescent="0.25">
      <c r="B57" s="851">
        <v>47</v>
      </c>
      <c r="C57" s="844" t="s">
        <v>316</v>
      </c>
      <c r="D57" s="499">
        <f>SUM(D58:D70)</f>
        <v>860.99475999999993</v>
      </c>
    </row>
    <row r="58" spans="2:5" ht="15.75" x14ac:dyDescent="0.2">
      <c r="B58" s="852">
        <v>48</v>
      </c>
      <c r="C58" s="500" t="s">
        <v>397</v>
      </c>
      <c r="D58" s="483">
        <v>190.5</v>
      </c>
    </row>
    <row r="59" spans="2:5" ht="15.75" x14ac:dyDescent="0.25">
      <c r="B59" s="843">
        <v>49</v>
      </c>
      <c r="C59" s="838" t="s">
        <v>368</v>
      </c>
      <c r="D59" s="192">
        <v>98.540999999999997</v>
      </c>
    </row>
    <row r="60" spans="2:5" ht="31.5" x14ac:dyDescent="0.25">
      <c r="B60" s="843">
        <v>50</v>
      </c>
      <c r="C60" s="838" t="s">
        <v>377</v>
      </c>
      <c r="D60" s="192">
        <v>74.704999999999998</v>
      </c>
    </row>
    <row r="61" spans="2:5" ht="15.75" x14ac:dyDescent="0.25">
      <c r="B61" s="843">
        <v>51</v>
      </c>
      <c r="C61" s="838" t="s">
        <v>376</v>
      </c>
      <c r="D61" s="192">
        <v>25.001000000000001</v>
      </c>
    </row>
    <row r="62" spans="2:5" ht="15.75" x14ac:dyDescent="0.2">
      <c r="B62" s="843">
        <f t="shared" si="0"/>
        <v>52</v>
      </c>
      <c r="C62" s="837" t="s">
        <v>496</v>
      </c>
      <c r="D62" s="432">
        <v>111</v>
      </c>
    </row>
    <row r="63" spans="2:5" ht="31.5" x14ac:dyDescent="0.2">
      <c r="B63" s="843">
        <f t="shared" si="0"/>
        <v>53</v>
      </c>
      <c r="C63" s="501" t="s">
        <v>504</v>
      </c>
      <c r="D63" s="192">
        <v>77.256</v>
      </c>
    </row>
    <row r="64" spans="2:5" ht="31.5" x14ac:dyDescent="0.2">
      <c r="B64" s="839">
        <f t="shared" si="0"/>
        <v>54</v>
      </c>
      <c r="C64" s="837" t="s">
        <v>505</v>
      </c>
      <c r="D64" s="192">
        <v>5.2954999999999997</v>
      </c>
    </row>
    <row r="65" spans="2:5" ht="15.75" x14ac:dyDescent="0.2">
      <c r="B65" s="839">
        <v>55</v>
      </c>
      <c r="C65" s="501" t="s">
        <v>588</v>
      </c>
      <c r="D65" s="440">
        <v>24.419</v>
      </c>
    </row>
    <row r="66" spans="2:5" ht="15.75" x14ac:dyDescent="0.2">
      <c r="B66" s="839">
        <v>56</v>
      </c>
      <c r="C66" s="501" t="s">
        <v>591</v>
      </c>
      <c r="D66" s="440">
        <v>18.571000000000002</v>
      </c>
    </row>
    <row r="67" spans="2:5" ht="15.75" x14ac:dyDescent="0.2">
      <c r="B67" s="839">
        <v>57</v>
      </c>
      <c r="C67" s="837" t="s">
        <v>599</v>
      </c>
      <c r="D67" s="454">
        <v>6.2552599999999998</v>
      </c>
    </row>
    <row r="68" spans="2:5" ht="31.5" x14ac:dyDescent="0.2">
      <c r="B68" s="839">
        <v>58</v>
      </c>
      <c r="C68" s="502" t="s">
        <v>612</v>
      </c>
      <c r="D68" s="503">
        <v>49.692</v>
      </c>
    </row>
    <row r="69" spans="2:5" ht="78.75" x14ac:dyDescent="0.25">
      <c r="B69" s="839">
        <v>59</v>
      </c>
      <c r="C69" s="846" t="s">
        <v>668</v>
      </c>
      <c r="D69" s="457">
        <v>16.759</v>
      </c>
    </row>
    <row r="70" spans="2:5" ht="32.25" thickBot="1" x14ac:dyDescent="0.25">
      <c r="B70" s="843">
        <v>60</v>
      </c>
      <c r="C70" s="502" t="s">
        <v>669</v>
      </c>
      <c r="D70" s="504">
        <v>163</v>
      </c>
    </row>
    <row r="71" spans="2:5" ht="16.5" thickBot="1" x14ac:dyDescent="0.3">
      <c r="B71" s="498">
        <v>61</v>
      </c>
      <c r="C71" s="494" t="s">
        <v>651</v>
      </c>
      <c r="D71" s="505">
        <f>D72</f>
        <v>2499.5</v>
      </c>
    </row>
    <row r="72" spans="2:5" ht="16.5" thickBot="1" x14ac:dyDescent="0.3">
      <c r="B72" s="486">
        <v>62</v>
      </c>
      <c r="C72" s="458" t="s">
        <v>405</v>
      </c>
      <c r="D72" s="506">
        <v>2499.5</v>
      </c>
      <c r="E72" s="6"/>
    </row>
    <row r="73" spans="2:5" ht="16.5" thickBot="1" x14ac:dyDescent="0.3">
      <c r="B73" s="489">
        <v>63</v>
      </c>
      <c r="C73" s="494" t="s">
        <v>378</v>
      </c>
      <c r="D73" s="505">
        <f>SUM(D74:D75)</f>
        <v>282.024</v>
      </c>
    </row>
    <row r="74" spans="2:5" ht="47.25" x14ac:dyDescent="0.25">
      <c r="B74" s="493">
        <v>64</v>
      </c>
      <c r="C74" s="507" t="s">
        <v>495</v>
      </c>
      <c r="D74" s="508">
        <v>43.896000000000001</v>
      </c>
    </row>
    <row r="75" spans="2:5" ht="16.5" thickBot="1" x14ac:dyDescent="0.25">
      <c r="B75" s="509">
        <v>65</v>
      </c>
      <c r="C75" s="502" t="s">
        <v>673</v>
      </c>
      <c r="D75" s="510">
        <v>238.12799999999999</v>
      </c>
    </row>
    <row r="76" spans="2:5" ht="16.5" thickBot="1" x14ac:dyDescent="0.3">
      <c r="B76" s="489">
        <v>66</v>
      </c>
      <c r="C76" s="511" t="s">
        <v>624</v>
      </c>
      <c r="D76" s="474">
        <f>D42+D43</f>
        <v>20774.089759999999</v>
      </c>
      <c r="E76" s="193"/>
    </row>
    <row r="77" spans="2:5" ht="15.75" x14ac:dyDescent="0.2">
      <c r="B77" s="203"/>
    </row>
    <row r="78" spans="2:5" ht="15.75" x14ac:dyDescent="0.2">
      <c r="B78" s="203"/>
    </row>
    <row r="79" spans="2:5" ht="15.75" x14ac:dyDescent="0.2">
      <c r="B79" s="203"/>
    </row>
  </sheetData>
  <mergeCells count="6">
    <mergeCell ref="C6:G6"/>
    <mergeCell ref="C5:H5"/>
    <mergeCell ref="C4:G4"/>
    <mergeCell ref="C1:F1"/>
    <mergeCell ref="C2:F2"/>
    <mergeCell ref="C3:F3"/>
  </mergeCells>
  <phoneticPr fontId="12" type="noConversion"/>
  <pageMargins left="0.23622047244094491" right="0.23622047244094491" top="0.74803149606299213" bottom="0.74803149606299213" header="0.31496062992125984" footer="0.31496062992125984"/>
  <pageSetup paperSize="9" scale="9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V214"/>
  <sheetViews>
    <sheetView topLeftCell="A16" zoomScaleNormal="100" workbookViewId="0">
      <selection activeCell="M216" sqref="M216"/>
    </sheetView>
  </sheetViews>
  <sheetFormatPr defaultRowHeight="12.75" x14ac:dyDescent="0.2"/>
  <cols>
    <col min="1" max="1" width="4.5703125" customWidth="1"/>
    <col min="2" max="2" width="41.85546875" customWidth="1"/>
    <col min="3" max="3" width="10.42578125" customWidth="1"/>
    <col min="4" max="4" width="10.5703125" customWidth="1"/>
    <col min="5" max="5" width="9.5703125" customWidth="1"/>
    <col min="6" max="6" width="8.28515625" customWidth="1"/>
    <col min="7" max="8" width="9.5703125" customWidth="1"/>
    <col min="9" max="9" width="9.42578125" customWidth="1"/>
    <col min="10" max="10" width="7.42578125" customWidth="1"/>
    <col min="11" max="11" width="8.28515625" customWidth="1"/>
    <col min="12" max="12" width="8.5703125" customWidth="1"/>
    <col min="13" max="13" width="9.42578125" customWidth="1"/>
    <col min="14" max="14" width="8.5703125" customWidth="1"/>
    <col min="15" max="15" width="8.42578125" customWidth="1"/>
    <col min="16" max="16" width="8.7109375" customWidth="1"/>
    <col min="17" max="17" width="8.5703125" customWidth="1"/>
    <col min="18" max="18" width="6" customWidth="1"/>
    <col min="19" max="19" width="8.28515625" customWidth="1"/>
    <col min="20" max="20" width="8" customWidth="1"/>
    <col min="21" max="21" width="7.42578125" customWidth="1"/>
    <col min="22" max="22" width="6.42578125" customWidth="1"/>
  </cols>
  <sheetData>
    <row r="2" spans="1:22" x14ac:dyDescent="0.2">
      <c r="R2" s="8" t="s">
        <v>23</v>
      </c>
    </row>
    <row r="3" spans="1:22" x14ac:dyDescent="0.2">
      <c r="C3" s="880" t="s">
        <v>198</v>
      </c>
      <c r="D3" s="880"/>
      <c r="E3" s="880"/>
      <c r="F3" s="880"/>
      <c r="G3" s="880"/>
      <c r="H3" s="880"/>
      <c r="I3" s="880"/>
      <c r="J3" s="880"/>
      <c r="P3" s="8"/>
      <c r="R3" s="8" t="s">
        <v>199</v>
      </c>
      <c r="S3" s="3"/>
      <c r="T3" s="3"/>
      <c r="U3" s="4"/>
      <c r="V3" s="4"/>
    </row>
    <row r="4" spans="1:22" x14ac:dyDescent="0.2">
      <c r="B4" s="59"/>
      <c r="C4" s="880" t="s">
        <v>97</v>
      </c>
      <c r="D4" s="880"/>
      <c r="E4" s="880"/>
      <c r="F4" s="880"/>
      <c r="G4" s="880"/>
      <c r="H4" s="880"/>
      <c r="I4" s="880"/>
      <c r="P4" s="8"/>
      <c r="Q4" s="3"/>
      <c r="R4" s="8" t="s">
        <v>98</v>
      </c>
    </row>
    <row r="5" spans="1:22" ht="13.5" thickBot="1" x14ac:dyDescent="0.25">
      <c r="P5" s="8"/>
      <c r="T5" s="6" t="s">
        <v>99</v>
      </c>
    </row>
    <row r="6" spans="1:22" x14ac:dyDescent="0.2">
      <c r="A6" s="892"/>
      <c r="B6" s="894" t="s">
        <v>39</v>
      </c>
      <c r="C6" s="897" t="s">
        <v>40</v>
      </c>
      <c r="D6" s="887" t="s">
        <v>41</v>
      </c>
      <c r="E6" s="887"/>
      <c r="F6" s="888"/>
      <c r="G6" s="897" t="s">
        <v>42</v>
      </c>
      <c r="H6" s="887" t="s">
        <v>41</v>
      </c>
      <c r="I6" s="887"/>
      <c r="J6" s="889"/>
      <c r="K6" s="884" t="s">
        <v>200</v>
      </c>
      <c r="L6" s="887" t="s">
        <v>41</v>
      </c>
      <c r="M6" s="887"/>
      <c r="N6" s="888"/>
      <c r="O6" s="884" t="s">
        <v>43</v>
      </c>
      <c r="P6" s="887" t="s">
        <v>41</v>
      </c>
      <c r="Q6" s="887"/>
      <c r="R6" s="888"/>
      <c r="S6" s="884" t="s">
        <v>44</v>
      </c>
      <c r="T6" s="887" t="s">
        <v>41</v>
      </c>
      <c r="U6" s="887"/>
      <c r="V6" s="888"/>
    </row>
    <row r="7" spans="1:22" x14ac:dyDescent="0.2">
      <c r="A7" s="893"/>
      <c r="B7" s="895"/>
      <c r="C7" s="898"/>
      <c r="D7" s="881" t="s">
        <v>45</v>
      </c>
      <c r="E7" s="881"/>
      <c r="F7" s="890" t="s">
        <v>46</v>
      </c>
      <c r="G7" s="898"/>
      <c r="H7" s="881" t="s">
        <v>45</v>
      </c>
      <c r="I7" s="881"/>
      <c r="J7" s="882" t="s">
        <v>46</v>
      </c>
      <c r="K7" s="885"/>
      <c r="L7" s="881" t="s">
        <v>45</v>
      </c>
      <c r="M7" s="881"/>
      <c r="N7" s="890" t="s">
        <v>46</v>
      </c>
      <c r="O7" s="885"/>
      <c r="P7" s="881" t="s">
        <v>45</v>
      </c>
      <c r="Q7" s="881"/>
      <c r="R7" s="890" t="s">
        <v>46</v>
      </c>
      <c r="S7" s="885"/>
      <c r="T7" s="881" t="s">
        <v>45</v>
      </c>
      <c r="U7" s="881"/>
      <c r="V7" s="890" t="s">
        <v>46</v>
      </c>
    </row>
    <row r="8" spans="1:22" ht="48.75" thickBot="1" x14ac:dyDescent="0.25">
      <c r="A8" s="893"/>
      <c r="B8" s="896"/>
      <c r="C8" s="899"/>
      <c r="D8" s="60" t="s">
        <v>40</v>
      </c>
      <c r="E8" s="61" t="s">
        <v>47</v>
      </c>
      <c r="F8" s="891"/>
      <c r="G8" s="899"/>
      <c r="H8" s="60" t="s">
        <v>40</v>
      </c>
      <c r="I8" s="61" t="s">
        <v>47</v>
      </c>
      <c r="J8" s="883"/>
      <c r="K8" s="886"/>
      <c r="L8" s="60" t="s">
        <v>40</v>
      </c>
      <c r="M8" s="61" t="s">
        <v>47</v>
      </c>
      <c r="N8" s="891"/>
      <c r="O8" s="886"/>
      <c r="P8" s="60" t="s">
        <v>40</v>
      </c>
      <c r="Q8" s="61" t="s">
        <v>47</v>
      </c>
      <c r="R8" s="891"/>
      <c r="S8" s="886"/>
      <c r="T8" s="60" t="s">
        <v>40</v>
      </c>
      <c r="U8" s="61" t="s">
        <v>47</v>
      </c>
      <c r="V8" s="891"/>
    </row>
    <row r="9" spans="1:22" ht="30.75" thickBot="1" x14ac:dyDescent="0.3">
      <c r="A9" s="62">
        <v>1</v>
      </c>
      <c r="B9" s="63" t="s">
        <v>100</v>
      </c>
      <c r="C9" s="54">
        <f t="shared" ref="C9:F25" si="0">G9+K9+O9+S9</f>
        <v>0</v>
      </c>
      <c r="D9" s="52">
        <f t="shared" si="0"/>
        <v>0</v>
      </c>
      <c r="E9" s="52">
        <f t="shared" si="0"/>
        <v>0</v>
      </c>
      <c r="F9" s="54">
        <f t="shared" si="0"/>
        <v>0</v>
      </c>
      <c r="G9" s="64">
        <f>G13+G17+G18+G20+G25+G28+G31+SUM(G33:G43)+G23+G10</f>
        <v>0</v>
      </c>
      <c r="H9" s="65">
        <f>H13+H17+H18+H20+H25+H28+H31+SUM(H33:H43)+H23+H10</f>
        <v>0</v>
      </c>
      <c r="I9" s="65">
        <f>I13+I17+I18+I20+I25+I28+I31+SUM(I33:I43)+I23+I10</f>
        <v>0</v>
      </c>
      <c r="J9" s="66">
        <f>J13+J17+J18+J20+J25+J28+J31+SUM(J33:J43)+J23+J10</f>
        <v>0</v>
      </c>
      <c r="K9" s="65">
        <f>K13+K17+K18+K20+K25+K28+K31+SUM(K33:K43)</f>
        <v>0</v>
      </c>
      <c r="L9" s="52">
        <f>L13+L18+SUM(L33:L43)</f>
        <v>0</v>
      </c>
      <c r="M9" s="52">
        <f>M13+M17+M18+M20+M25+M28+M31+SUM(M33:M43)</f>
        <v>0</v>
      </c>
      <c r="N9" s="55"/>
      <c r="O9" s="64"/>
      <c r="P9" s="52"/>
      <c r="Q9" s="52"/>
      <c r="R9" s="57"/>
      <c r="S9" s="64">
        <f>S13+S17+S18+S20+S25+S28+S31+SUM(S33:S43)</f>
        <v>0</v>
      </c>
      <c r="T9" s="52">
        <f>T20+SUM(T34:T43)</f>
        <v>0</v>
      </c>
      <c r="U9" s="52">
        <f>U20+SUM(U34:U43)</f>
        <v>0</v>
      </c>
      <c r="V9" s="57"/>
    </row>
    <row r="10" spans="1:22" x14ac:dyDescent="0.2">
      <c r="A10" s="67">
        <v>2</v>
      </c>
      <c r="B10" s="68" t="s">
        <v>48</v>
      </c>
      <c r="C10" s="69">
        <f t="shared" si="0"/>
        <v>0</v>
      </c>
      <c r="D10" s="69">
        <f>H10+L10+P10+T10</f>
        <v>0</v>
      </c>
      <c r="E10" s="69">
        <f>I10+M10+Q10+U10</f>
        <v>0</v>
      </c>
      <c r="F10" s="70"/>
      <c r="G10" s="71">
        <f>G11+G12</f>
        <v>0</v>
      </c>
      <c r="H10" s="72">
        <f>H11+H12</f>
        <v>0</v>
      </c>
      <c r="I10" s="72">
        <f>I11+I12</f>
        <v>0</v>
      </c>
      <c r="J10" s="73"/>
      <c r="K10" s="69"/>
      <c r="L10" s="74"/>
      <c r="M10" s="74"/>
      <c r="N10" s="75"/>
      <c r="O10" s="76"/>
      <c r="P10" s="74"/>
      <c r="Q10" s="74"/>
      <c r="R10" s="77"/>
      <c r="S10" s="76"/>
      <c r="T10" s="74"/>
      <c r="U10" s="74"/>
      <c r="V10" s="77"/>
    </row>
    <row r="11" spans="1:22" x14ac:dyDescent="0.2">
      <c r="A11" s="67">
        <v>3</v>
      </c>
      <c r="B11" s="9" t="s">
        <v>49</v>
      </c>
      <c r="C11" s="10">
        <f t="shared" si="0"/>
        <v>0</v>
      </c>
      <c r="D11" s="10">
        <f>H11+L11+P11+T11</f>
        <v>0</v>
      </c>
      <c r="E11" s="10">
        <f>I11+M11+Q11+U11</f>
        <v>0</v>
      </c>
      <c r="F11" s="11"/>
      <c r="G11" s="12">
        <f>H11+J11</f>
        <v>0</v>
      </c>
      <c r="H11" s="13"/>
      <c r="I11" s="13"/>
      <c r="J11" s="77"/>
      <c r="K11" s="78"/>
      <c r="L11" s="74"/>
      <c r="M11" s="74"/>
      <c r="N11" s="78"/>
      <c r="O11" s="79"/>
      <c r="P11" s="74"/>
      <c r="Q11" s="74"/>
      <c r="R11" s="80"/>
      <c r="S11" s="79"/>
      <c r="T11" s="74"/>
      <c r="U11" s="74"/>
      <c r="V11" s="80"/>
    </row>
    <row r="12" spans="1:22" x14ac:dyDescent="0.2">
      <c r="A12" s="67">
        <v>4</v>
      </c>
      <c r="B12" s="14" t="s">
        <v>50</v>
      </c>
      <c r="C12" s="10">
        <f t="shared" si="0"/>
        <v>0</v>
      </c>
      <c r="D12" s="10">
        <f t="shared" si="0"/>
        <v>0</v>
      </c>
      <c r="E12" s="15">
        <f t="shared" si="0"/>
        <v>0</v>
      </c>
      <c r="F12" s="11"/>
      <c r="G12" s="12">
        <f>H12+J12</f>
        <v>0</v>
      </c>
      <c r="H12" s="16"/>
      <c r="I12" s="13"/>
      <c r="J12" s="77"/>
      <c r="K12" s="78"/>
      <c r="L12" s="74"/>
      <c r="M12" s="74"/>
      <c r="N12" s="78"/>
      <c r="O12" s="79"/>
      <c r="P12" s="74"/>
      <c r="Q12" s="74"/>
      <c r="R12" s="80"/>
      <c r="S12" s="79"/>
      <c r="T12" s="74"/>
      <c r="U12" s="74"/>
      <c r="V12" s="80"/>
    </row>
    <row r="13" spans="1:22" x14ac:dyDescent="0.2">
      <c r="A13" s="67">
        <v>5</v>
      </c>
      <c r="B13" s="81" t="s">
        <v>101</v>
      </c>
      <c r="C13" s="69">
        <f t="shared" si="0"/>
        <v>0</v>
      </c>
      <c r="D13" s="74">
        <f t="shared" ref="D13:J13" si="1">SUM(D14:D16)</f>
        <v>0</v>
      </c>
      <c r="E13" s="74">
        <f t="shared" si="1"/>
        <v>0</v>
      </c>
      <c r="F13" s="75">
        <f t="shared" si="1"/>
        <v>0</v>
      </c>
      <c r="G13" s="76">
        <f t="shared" si="1"/>
        <v>0</v>
      </c>
      <c r="H13" s="74">
        <f t="shared" si="1"/>
        <v>0</v>
      </c>
      <c r="I13" s="74">
        <f t="shared" si="1"/>
        <v>0</v>
      </c>
      <c r="J13" s="77">
        <f t="shared" si="1"/>
        <v>0</v>
      </c>
      <c r="K13" s="78">
        <f>K14+K15+K16</f>
        <v>0</v>
      </c>
      <c r="L13" s="19">
        <f>L14+L15+L16</f>
        <v>0</v>
      </c>
      <c r="M13" s="19">
        <f>M14+M15+M16</f>
        <v>0</v>
      </c>
      <c r="N13" s="78"/>
      <c r="O13" s="79"/>
      <c r="P13" s="74"/>
      <c r="Q13" s="74"/>
      <c r="R13" s="80"/>
      <c r="S13" s="79"/>
      <c r="T13" s="74"/>
      <c r="U13" s="74"/>
      <c r="V13" s="80"/>
    </row>
    <row r="14" spans="1:22" x14ac:dyDescent="0.2">
      <c r="A14" s="82">
        <f>+A13+1</f>
        <v>6</v>
      </c>
      <c r="B14" s="32" t="s">
        <v>102</v>
      </c>
      <c r="C14" s="10">
        <f t="shared" si="0"/>
        <v>0</v>
      </c>
      <c r="D14" s="15">
        <f t="shared" si="0"/>
        <v>0</v>
      </c>
      <c r="E14" s="15">
        <f t="shared" si="0"/>
        <v>0</v>
      </c>
      <c r="F14" s="15">
        <f t="shared" si="0"/>
        <v>0</v>
      </c>
      <c r="G14" s="12">
        <f t="shared" ref="G14:G24" si="2">H14+J14</f>
        <v>0</v>
      </c>
      <c r="H14" s="15"/>
      <c r="I14" s="83"/>
      <c r="J14" s="84"/>
      <c r="K14" s="10">
        <f>L14+N14</f>
        <v>0</v>
      </c>
      <c r="L14" s="85"/>
      <c r="M14" s="83"/>
      <c r="N14" s="86"/>
      <c r="O14" s="87"/>
      <c r="P14" s="85"/>
      <c r="Q14" s="85"/>
      <c r="R14" s="84"/>
      <c r="S14" s="12"/>
      <c r="T14" s="85"/>
      <c r="U14" s="85"/>
      <c r="V14" s="84"/>
    </row>
    <row r="15" spans="1:22" x14ac:dyDescent="0.2">
      <c r="A15" s="82">
        <v>7</v>
      </c>
      <c r="B15" s="32" t="s">
        <v>103</v>
      </c>
      <c r="C15" s="10">
        <f t="shared" si="0"/>
        <v>0</v>
      </c>
      <c r="D15" s="85">
        <f t="shared" si="0"/>
        <v>0</v>
      </c>
      <c r="E15" s="85"/>
      <c r="F15" s="75"/>
      <c r="G15" s="12">
        <f t="shared" si="2"/>
        <v>0</v>
      </c>
      <c r="H15" s="85"/>
      <c r="I15" s="85"/>
      <c r="J15" s="84"/>
      <c r="K15" s="18"/>
      <c r="L15" s="85"/>
      <c r="M15" s="85"/>
      <c r="N15" s="86"/>
      <c r="O15" s="87"/>
      <c r="P15" s="85"/>
      <c r="Q15" s="85"/>
      <c r="R15" s="84"/>
      <c r="S15" s="87"/>
      <c r="T15" s="85"/>
      <c r="U15" s="85"/>
      <c r="V15" s="84"/>
    </row>
    <row r="16" spans="1:22" x14ac:dyDescent="0.2">
      <c r="A16" s="82">
        <f>+A15+1</f>
        <v>8</v>
      </c>
      <c r="B16" s="32" t="s">
        <v>104</v>
      </c>
      <c r="C16" s="10">
        <f t="shared" si="0"/>
        <v>0</v>
      </c>
      <c r="D16" s="85">
        <f t="shared" si="0"/>
        <v>0</v>
      </c>
      <c r="E16" s="85"/>
      <c r="F16" s="75"/>
      <c r="G16" s="12">
        <f t="shared" si="2"/>
        <v>0</v>
      </c>
      <c r="H16" s="85"/>
      <c r="I16" s="85"/>
      <c r="J16" s="84"/>
      <c r="K16" s="18"/>
      <c r="L16" s="85"/>
      <c r="M16" s="85"/>
      <c r="N16" s="86"/>
      <c r="O16" s="87"/>
      <c r="P16" s="85"/>
      <c r="Q16" s="85"/>
      <c r="R16" s="84"/>
      <c r="S16" s="87"/>
      <c r="T16" s="85"/>
      <c r="U16" s="85"/>
      <c r="V16" s="84"/>
    </row>
    <row r="17" spans="1:22" x14ac:dyDescent="0.2">
      <c r="A17" s="82">
        <v>9</v>
      </c>
      <c r="B17" s="17" t="s">
        <v>105</v>
      </c>
      <c r="C17" s="18">
        <f t="shared" si="0"/>
        <v>0</v>
      </c>
      <c r="D17" s="19">
        <f t="shared" si="0"/>
        <v>0</v>
      </c>
      <c r="E17" s="19">
        <f>I17+M17+Q17+U17</f>
        <v>0</v>
      </c>
      <c r="F17" s="86"/>
      <c r="G17" s="21">
        <f t="shared" si="2"/>
        <v>0</v>
      </c>
      <c r="H17" s="19"/>
      <c r="I17" s="19"/>
      <c r="J17" s="84"/>
      <c r="K17" s="18"/>
      <c r="L17" s="85"/>
      <c r="M17" s="85"/>
      <c r="N17" s="86"/>
      <c r="O17" s="87"/>
      <c r="P17" s="85"/>
      <c r="Q17" s="85"/>
      <c r="R17" s="84"/>
      <c r="S17" s="87"/>
      <c r="T17" s="85"/>
      <c r="U17" s="85"/>
      <c r="V17" s="84"/>
    </row>
    <row r="18" spans="1:22" x14ac:dyDescent="0.2">
      <c r="A18" s="82">
        <v>10</v>
      </c>
      <c r="B18" s="17" t="s">
        <v>106</v>
      </c>
      <c r="C18" s="18">
        <f t="shared" si="0"/>
        <v>0</v>
      </c>
      <c r="D18" s="19">
        <f t="shared" si="0"/>
        <v>0</v>
      </c>
      <c r="E18" s="19"/>
      <c r="F18" s="86"/>
      <c r="G18" s="21"/>
      <c r="H18" s="88"/>
      <c r="I18" s="19"/>
      <c r="J18" s="89"/>
      <c r="K18" s="88">
        <f>K19</f>
        <v>0</v>
      </c>
      <c r="L18" s="19">
        <f>L19</f>
        <v>0</v>
      </c>
      <c r="M18" s="85"/>
      <c r="N18" s="86"/>
      <c r="O18" s="87"/>
      <c r="P18" s="85"/>
      <c r="Q18" s="85"/>
      <c r="R18" s="84"/>
      <c r="S18" s="87"/>
      <c r="T18" s="85"/>
      <c r="U18" s="85"/>
      <c r="V18" s="84"/>
    </row>
    <row r="19" spans="1:22" x14ac:dyDescent="0.2">
      <c r="A19" s="82">
        <v>11</v>
      </c>
      <c r="B19" s="32" t="s">
        <v>107</v>
      </c>
      <c r="C19" s="10">
        <f t="shared" si="0"/>
        <v>0</v>
      </c>
      <c r="D19" s="15">
        <f t="shared" si="0"/>
        <v>0</v>
      </c>
      <c r="E19" s="19"/>
      <c r="F19" s="86"/>
      <c r="G19" s="12"/>
      <c r="H19" s="29"/>
      <c r="I19" s="19"/>
      <c r="J19" s="89"/>
      <c r="K19" s="29">
        <f>L19+M19+N19</f>
        <v>0</v>
      </c>
      <c r="L19" s="85"/>
      <c r="M19" s="85"/>
      <c r="N19" s="86"/>
      <c r="O19" s="87"/>
      <c r="P19" s="85"/>
      <c r="Q19" s="85"/>
      <c r="R19" s="84"/>
      <c r="S19" s="87"/>
      <c r="T19" s="85"/>
      <c r="U19" s="85"/>
      <c r="V19" s="84"/>
    </row>
    <row r="20" spans="1:22" x14ac:dyDescent="0.2">
      <c r="A20" s="82">
        <v>12</v>
      </c>
      <c r="B20" s="17" t="s">
        <v>33</v>
      </c>
      <c r="C20" s="18">
        <f t="shared" si="0"/>
        <v>0</v>
      </c>
      <c r="D20" s="19">
        <f t="shared" si="0"/>
        <v>0</v>
      </c>
      <c r="E20" s="19"/>
      <c r="F20" s="20"/>
      <c r="G20" s="27">
        <f t="shared" si="2"/>
        <v>0</v>
      </c>
      <c r="H20" s="19">
        <f>H21+H22</f>
        <v>0</v>
      </c>
      <c r="I20" s="19"/>
      <c r="J20" s="28"/>
      <c r="K20" s="88"/>
      <c r="L20" s="19"/>
      <c r="M20" s="19"/>
      <c r="N20" s="88"/>
      <c r="O20" s="27"/>
      <c r="P20" s="19"/>
      <c r="Q20" s="19"/>
      <c r="R20" s="28"/>
      <c r="S20" s="27">
        <f>S21+S22</f>
        <v>0</v>
      </c>
      <c r="T20" s="19">
        <f>T21+T22</f>
        <v>0</v>
      </c>
      <c r="U20" s="19"/>
      <c r="V20" s="22"/>
    </row>
    <row r="21" spans="1:22" x14ac:dyDescent="0.2">
      <c r="A21" s="82">
        <v>13</v>
      </c>
      <c r="B21" s="32" t="s">
        <v>108</v>
      </c>
      <c r="C21" s="10">
        <f t="shared" si="0"/>
        <v>0</v>
      </c>
      <c r="D21" s="85">
        <f t="shared" si="0"/>
        <v>0</v>
      </c>
      <c r="E21" s="85"/>
      <c r="F21" s="86"/>
      <c r="G21" s="12">
        <f t="shared" si="2"/>
        <v>0</v>
      </c>
      <c r="H21" s="85"/>
      <c r="I21" s="85"/>
      <c r="J21" s="84"/>
      <c r="K21" s="18"/>
      <c r="L21" s="86"/>
      <c r="M21" s="85"/>
      <c r="N21" s="86"/>
      <c r="O21" s="87"/>
      <c r="P21" s="85"/>
      <c r="Q21" s="85"/>
      <c r="R21" s="84"/>
      <c r="S21" s="87"/>
      <c r="T21" s="85"/>
      <c r="U21" s="85"/>
      <c r="V21" s="84"/>
    </row>
    <row r="22" spans="1:22" ht="15.75" x14ac:dyDescent="0.25">
      <c r="A22" s="82">
        <v>14</v>
      </c>
      <c r="B22" s="32" t="s">
        <v>109</v>
      </c>
      <c r="C22" s="10">
        <f t="shared" si="0"/>
        <v>0</v>
      </c>
      <c r="D22" s="85">
        <f t="shared" si="0"/>
        <v>0</v>
      </c>
      <c r="E22" s="85"/>
      <c r="F22" s="86"/>
      <c r="G22" s="90"/>
      <c r="H22" s="85"/>
      <c r="I22" s="85"/>
      <c r="J22" s="84"/>
      <c r="K22" s="91"/>
      <c r="L22" s="86"/>
      <c r="M22" s="85"/>
      <c r="N22" s="86"/>
      <c r="O22" s="87"/>
      <c r="P22" s="85"/>
      <c r="Q22" s="85"/>
      <c r="R22" s="84"/>
      <c r="S22" s="12">
        <f>T22+V22</f>
        <v>0</v>
      </c>
      <c r="T22" s="85"/>
      <c r="U22" s="85"/>
      <c r="V22" s="84"/>
    </row>
    <row r="23" spans="1:22" x14ac:dyDescent="0.2">
      <c r="A23" s="82">
        <v>15</v>
      </c>
      <c r="B23" s="17" t="s">
        <v>110</v>
      </c>
      <c r="C23" s="18">
        <f t="shared" si="0"/>
        <v>0</v>
      </c>
      <c r="D23" s="19">
        <f t="shared" si="0"/>
        <v>0</v>
      </c>
      <c r="E23" s="19">
        <f t="shared" si="0"/>
        <v>0</v>
      </c>
      <c r="F23" s="20"/>
      <c r="G23" s="21">
        <f t="shared" si="2"/>
        <v>0</v>
      </c>
      <c r="H23" s="19">
        <f>H24</f>
        <v>0</v>
      </c>
      <c r="I23" s="19">
        <f>I24</f>
        <v>0</v>
      </c>
      <c r="J23" s="89"/>
      <c r="K23" s="92"/>
      <c r="L23" s="86"/>
      <c r="M23" s="85"/>
      <c r="N23" s="86"/>
      <c r="O23" s="87"/>
      <c r="P23" s="85"/>
      <c r="Q23" s="85"/>
      <c r="R23" s="84"/>
      <c r="S23" s="87"/>
      <c r="T23" s="85"/>
      <c r="U23" s="85"/>
      <c r="V23" s="84"/>
    </row>
    <row r="24" spans="1:22" x14ac:dyDescent="0.2">
      <c r="A24" s="82">
        <v>16</v>
      </c>
      <c r="B24" s="32" t="s">
        <v>111</v>
      </c>
      <c r="C24" s="10">
        <f t="shared" si="0"/>
        <v>0</v>
      </c>
      <c r="D24" s="85">
        <f t="shared" si="0"/>
        <v>0</v>
      </c>
      <c r="E24" s="85">
        <f t="shared" si="0"/>
        <v>0</v>
      </c>
      <c r="F24" s="86"/>
      <c r="G24" s="12">
        <f t="shared" si="2"/>
        <v>0</v>
      </c>
      <c r="H24" s="85"/>
      <c r="I24" s="85"/>
      <c r="J24" s="89"/>
      <c r="K24" s="92"/>
      <c r="L24" s="86"/>
      <c r="M24" s="85"/>
      <c r="N24" s="86"/>
      <c r="O24" s="87"/>
      <c r="P24" s="85"/>
      <c r="Q24" s="85"/>
      <c r="R24" s="84"/>
      <c r="S24" s="87"/>
      <c r="T24" s="85"/>
      <c r="U24" s="85"/>
      <c r="V24" s="84"/>
    </row>
    <row r="25" spans="1:22" x14ac:dyDescent="0.2">
      <c r="A25" s="82">
        <v>17</v>
      </c>
      <c r="B25" s="17" t="s">
        <v>112</v>
      </c>
      <c r="C25" s="18">
        <f t="shared" si="0"/>
        <v>0</v>
      </c>
      <c r="D25" s="19">
        <f t="shared" si="0"/>
        <v>0</v>
      </c>
      <c r="E25" s="19"/>
      <c r="F25" s="20"/>
      <c r="G25" s="27">
        <f>G26+G27</f>
        <v>0</v>
      </c>
      <c r="H25" s="19">
        <f>H26+H27</f>
        <v>0</v>
      </c>
      <c r="I25" s="19"/>
      <c r="J25" s="28"/>
      <c r="K25" s="92"/>
      <c r="L25" s="85"/>
      <c r="M25" s="85"/>
      <c r="N25" s="86"/>
      <c r="O25" s="87"/>
      <c r="P25" s="85"/>
      <c r="Q25" s="85"/>
      <c r="R25" s="84"/>
      <c r="S25" s="87"/>
      <c r="T25" s="85"/>
      <c r="U25" s="85"/>
      <c r="V25" s="84"/>
    </row>
    <row r="26" spans="1:22" ht="24" x14ac:dyDescent="0.2">
      <c r="A26" s="82">
        <v>18</v>
      </c>
      <c r="B26" s="93" t="s">
        <v>113</v>
      </c>
      <c r="C26" s="10">
        <f t="shared" ref="C26:E54" si="3">G26+K26+O26+S26</f>
        <v>0</v>
      </c>
      <c r="D26" s="85">
        <f t="shared" si="3"/>
        <v>0</v>
      </c>
      <c r="E26" s="85"/>
      <c r="F26" s="86"/>
      <c r="G26" s="94">
        <f>H26+J26</f>
        <v>0</v>
      </c>
      <c r="H26" s="85"/>
      <c r="I26" s="85"/>
      <c r="J26" s="89"/>
      <c r="K26" s="92"/>
      <c r="L26" s="85"/>
      <c r="M26" s="85"/>
      <c r="N26" s="86"/>
      <c r="O26" s="87"/>
      <c r="P26" s="85"/>
      <c r="Q26" s="85"/>
      <c r="R26" s="84"/>
      <c r="S26" s="87"/>
      <c r="T26" s="85"/>
      <c r="U26" s="85"/>
      <c r="V26" s="84"/>
    </row>
    <row r="27" spans="1:22" ht="25.5" x14ac:dyDescent="0.2">
      <c r="A27" s="82">
        <v>19</v>
      </c>
      <c r="B27" s="95" t="s">
        <v>114</v>
      </c>
      <c r="C27" s="10">
        <f t="shared" si="3"/>
        <v>0</v>
      </c>
      <c r="D27" s="85">
        <f t="shared" si="3"/>
        <v>0</v>
      </c>
      <c r="E27" s="85"/>
      <c r="F27" s="86"/>
      <c r="G27" s="94">
        <f>H27+J27</f>
        <v>0</v>
      </c>
      <c r="H27" s="85"/>
      <c r="I27" s="85"/>
      <c r="J27" s="89"/>
      <c r="K27" s="92"/>
      <c r="L27" s="85"/>
      <c r="M27" s="85"/>
      <c r="N27" s="86"/>
      <c r="O27" s="87"/>
      <c r="P27" s="85"/>
      <c r="Q27" s="85"/>
      <c r="R27" s="84"/>
      <c r="S27" s="87"/>
      <c r="T27" s="85"/>
      <c r="U27" s="85"/>
      <c r="V27" s="84"/>
    </row>
    <row r="28" spans="1:22" x14ac:dyDescent="0.2">
      <c r="A28" s="82">
        <f>+A27+1</f>
        <v>20</v>
      </c>
      <c r="B28" s="17" t="s">
        <v>115</v>
      </c>
      <c r="C28" s="18">
        <f t="shared" si="3"/>
        <v>0</v>
      </c>
      <c r="D28" s="19">
        <f t="shared" si="3"/>
        <v>0</v>
      </c>
      <c r="E28" s="85"/>
      <c r="F28" s="86"/>
      <c r="G28" s="27">
        <f>G29+G30</f>
        <v>0</v>
      </c>
      <c r="H28" s="19">
        <f>H29+H30</f>
        <v>0</v>
      </c>
      <c r="I28" s="85"/>
      <c r="J28" s="89"/>
      <c r="K28" s="92"/>
      <c r="L28" s="85"/>
      <c r="M28" s="85"/>
      <c r="N28" s="86"/>
      <c r="O28" s="87"/>
      <c r="P28" s="85"/>
      <c r="Q28" s="85"/>
      <c r="R28" s="84"/>
      <c r="S28" s="87"/>
      <c r="T28" s="85"/>
      <c r="U28" s="85"/>
      <c r="V28" s="84"/>
    </row>
    <row r="29" spans="1:22" x14ac:dyDescent="0.2">
      <c r="A29" s="82">
        <f>+A28+1</f>
        <v>21</v>
      </c>
      <c r="B29" s="96" t="s">
        <v>116</v>
      </c>
      <c r="C29" s="10">
        <f t="shared" si="3"/>
        <v>0</v>
      </c>
      <c r="D29" s="85">
        <f t="shared" si="3"/>
        <v>0</v>
      </c>
      <c r="E29" s="85"/>
      <c r="F29" s="86"/>
      <c r="G29" s="94">
        <f>H29+J29</f>
        <v>0</v>
      </c>
      <c r="H29" s="85"/>
      <c r="I29" s="85"/>
      <c r="J29" s="89"/>
      <c r="K29" s="92"/>
      <c r="L29" s="85"/>
      <c r="M29" s="85"/>
      <c r="N29" s="86"/>
      <c r="O29" s="87"/>
      <c r="P29" s="85"/>
      <c r="Q29" s="85"/>
      <c r="R29" s="84"/>
      <c r="S29" s="87"/>
      <c r="T29" s="85"/>
      <c r="U29" s="85"/>
      <c r="V29" s="84"/>
    </row>
    <row r="30" spans="1:22" x14ac:dyDescent="0.2">
      <c r="A30" s="82">
        <f>+A29+1</f>
        <v>22</v>
      </c>
      <c r="B30" s="32" t="s">
        <v>117</v>
      </c>
      <c r="C30" s="10">
        <f t="shared" si="3"/>
        <v>0</v>
      </c>
      <c r="D30" s="85">
        <f t="shared" si="3"/>
        <v>0</v>
      </c>
      <c r="E30" s="85"/>
      <c r="F30" s="86"/>
      <c r="G30" s="94">
        <f>H30+J30</f>
        <v>0</v>
      </c>
      <c r="H30" s="85"/>
      <c r="I30" s="85"/>
      <c r="J30" s="89"/>
      <c r="K30" s="92"/>
      <c r="L30" s="85"/>
      <c r="M30" s="85"/>
      <c r="N30" s="86"/>
      <c r="O30" s="87"/>
      <c r="P30" s="85"/>
      <c r="Q30" s="85"/>
      <c r="R30" s="84"/>
      <c r="S30" s="87"/>
      <c r="T30" s="85"/>
      <c r="U30" s="85"/>
      <c r="V30" s="84"/>
    </row>
    <row r="31" spans="1:22" x14ac:dyDescent="0.2">
      <c r="A31" s="82">
        <f>+A30+1</f>
        <v>23</v>
      </c>
      <c r="B31" s="17" t="s">
        <v>118</v>
      </c>
      <c r="C31" s="18">
        <f t="shared" si="3"/>
        <v>0</v>
      </c>
      <c r="D31" s="19">
        <f t="shared" si="3"/>
        <v>0</v>
      </c>
      <c r="E31" s="85"/>
      <c r="F31" s="86"/>
      <c r="G31" s="27">
        <f>H31</f>
        <v>0</v>
      </c>
      <c r="H31" s="19">
        <f>H32</f>
        <v>0</v>
      </c>
      <c r="I31" s="85"/>
      <c r="J31" s="89"/>
      <c r="K31" s="92"/>
      <c r="L31" s="85"/>
      <c r="M31" s="85"/>
      <c r="N31" s="86"/>
      <c r="O31" s="87"/>
      <c r="P31" s="85"/>
      <c r="Q31" s="85"/>
      <c r="R31" s="84"/>
      <c r="S31" s="87"/>
      <c r="T31" s="85"/>
      <c r="U31" s="85"/>
      <c r="V31" s="84"/>
    </row>
    <row r="32" spans="1:22" x14ac:dyDescent="0.2">
      <c r="A32" s="82">
        <f>+A31+1</f>
        <v>24</v>
      </c>
      <c r="B32" s="32" t="s">
        <v>119</v>
      </c>
      <c r="C32" s="10">
        <f t="shared" si="3"/>
        <v>0</v>
      </c>
      <c r="D32" s="85">
        <f t="shared" si="3"/>
        <v>0</v>
      </c>
      <c r="E32" s="85"/>
      <c r="F32" s="86"/>
      <c r="G32" s="87">
        <f t="shared" ref="G32:G43" si="4">H32+J32</f>
        <v>0</v>
      </c>
      <c r="H32" s="85"/>
      <c r="I32" s="85"/>
      <c r="J32" s="84"/>
      <c r="K32" s="91"/>
      <c r="L32" s="85"/>
      <c r="M32" s="85"/>
      <c r="N32" s="86"/>
      <c r="O32" s="87"/>
      <c r="P32" s="85"/>
      <c r="Q32" s="85"/>
      <c r="R32" s="84"/>
      <c r="S32" s="87"/>
      <c r="T32" s="85"/>
      <c r="U32" s="85"/>
      <c r="V32" s="84"/>
    </row>
    <row r="33" spans="1:22" x14ac:dyDescent="0.2">
      <c r="A33" s="82">
        <v>25</v>
      </c>
      <c r="B33" s="17" t="s">
        <v>1</v>
      </c>
      <c r="C33" s="18">
        <f t="shared" si="3"/>
        <v>0</v>
      </c>
      <c r="D33" s="19">
        <f t="shared" si="3"/>
        <v>0</v>
      </c>
      <c r="E33" s="19">
        <f t="shared" si="3"/>
        <v>0</v>
      </c>
      <c r="F33" s="20"/>
      <c r="G33" s="21">
        <f t="shared" si="4"/>
        <v>0</v>
      </c>
      <c r="H33" s="19"/>
      <c r="I33" s="19"/>
      <c r="J33" s="22"/>
      <c r="K33" s="18">
        <f>L33+N33</f>
        <v>0</v>
      </c>
      <c r="L33" s="19"/>
      <c r="M33" s="25"/>
      <c r="N33" s="20"/>
      <c r="O33" s="21"/>
      <c r="P33" s="19"/>
      <c r="Q33" s="19"/>
      <c r="R33" s="22"/>
      <c r="S33" s="21"/>
      <c r="T33" s="19"/>
      <c r="U33" s="19"/>
      <c r="V33" s="22"/>
    </row>
    <row r="34" spans="1:22" x14ac:dyDescent="0.2">
      <c r="A34" s="82">
        <v>26</v>
      </c>
      <c r="B34" s="17" t="s">
        <v>7</v>
      </c>
      <c r="C34" s="18">
        <f t="shared" si="3"/>
        <v>0</v>
      </c>
      <c r="D34" s="19">
        <f t="shared" si="3"/>
        <v>0</v>
      </c>
      <c r="E34" s="19">
        <f t="shared" si="3"/>
        <v>0</v>
      </c>
      <c r="F34" s="20"/>
      <c r="G34" s="21">
        <f t="shared" si="4"/>
        <v>0</v>
      </c>
      <c r="H34" s="19"/>
      <c r="I34" s="19"/>
      <c r="J34" s="22"/>
      <c r="K34" s="18">
        <f t="shared" ref="K34:K43" si="5">L34+N34</f>
        <v>0</v>
      </c>
      <c r="L34" s="19"/>
      <c r="M34" s="19"/>
      <c r="N34" s="23"/>
      <c r="O34" s="21"/>
      <c r="P34" s="19"/>
      <c r="Q34" s="19"/>
      <c r="R34" s="22"/>
      <c r="S34" s="21">
        <f t="shared" ref="S34:S43" si="6">T34+V34</f>
        <v>0</v>
      </c>
      <c r="T34" s="19"/>
      <c r="U34" s="19"/>
      <c r="V34" s="24"/>
    </row>
    <row r="35" spans="1:22" x14ac:dyDescent="0.2">
      <c r="A35" s="82">
        <f t="shared" ref="A35:A43" si="7">+A34+1</f>
        <v>27</v>
      </c>
      <c r="B35" s="17" t="s">
        <v>8</v>
      </c>
      <c r="C35" s="18">
        <f t="shared" si="3"/>
        <v>0</v>
      </c>
      <c r="D35" s="19">
        <f t="shared" si="3"/>
        <v>0</v>
      </c>
      <c r="E35" s="19">
        <f t="shared" si="3"/>
        <v>0</v>
      </c>
      <c r="F35" s="20"/>
      <c r="G35" s="21">
        <f t="shared" si="4"/>
        <v>0</v>
      </c>
      <c r="H35" s="19"/>
      <c r="I35" s="19"/>
      <c r="J35" s="24"/>
      <c r="K35" s="18">
        <f t="shared" si="5"/>
        <v>0</v>
      </c>
      <c r="L35" s="19"/>
      <c r="M35" s="19"/>
      <c r="N35" s="23"/>
      <c r="O35" s="21"/>
      <c r="P35" s="19"/>
      <c r="Q35" s="19"/>
      <c r="R35" s="22"/>
      <c r="S35" s="21">
        <f t="shared" si="6"/>
        <v>0</v>
      </c>
      <c r="T35" s="19"/>
      <c r="U35" s="19"/>
      <c r="V35" s="22"/>
    </row>
    <row r="36" spans="1:22" x14ac:dyDescent="0.2">
      <c r="A36" s="82">
        <f t="shared" si="7"/>
        <v>28</v>
      </c>
      <c r="B36" s="17" t="s">
        <v>9</v>
      </c>
      <c r="C36" s="18">
        <f t="shared" si="3"/>
        <v>0</v>
      </c>
      <c r="D36" s="19">
        <f t="shared" si="3"/>
        <v>0</v>
      </c>
      <c r="E36" s="19">
        <f t="shared" si="3"/>
        <v>0</v>
      </c>
      <c r="F36" s="20"/>
      <c r="G36" s="21">
        <f t="shared" si="4"/>
        <v>0</v>
      </c>
      <c r="H36" s="19"/>
      <c r="I36" s="19"/>
      <c r="J36" s="24"/>
      <c r="K36" s="18">
        <f t="shared" si="5"/>
        <v>0</v>
      </c>
      <c r="L36" s="19"/>
      <c r="M36" s="19"/>
      <c r="N36" s="23"/>
      <c r="O36" s="21"/>
      <c r="P36" s="19"/>
      <c r="Q36" s="19"/>
      <c r="R36" s="22"/>
      <c r="S36" s="21">
        <f t="shared" si="6"/>
        <v>0</v>
      </c>
      <c r="T36" s="19"/>
      <c r="U36" s="19"/>
      <c r="V36" s="24"/>
    </row>
    <row r="37" spans="1:22" x14ac:dyDescent="0.2">
      <c r="A37" s="82">
        <f t="shared" si="7"/>
        <v>29</v>
      </c>
      <c r="B37" s="17" t="s">
        <v>10</v>
      </c>
      <c r="C37" s="18">
        <f t="shared" si="3"/>
        <v>0</v>
      </c>
      <c r="D37" s="19">
        <f t="shared" si="3"/>
        <v>0</v>
      </c>
      <c r="E37" s="19">
        <f t="shared" si="3"/>
        <v>0</v>
      </c>
      <c r="F37" s="20"/>
      <c r="G37" s="21">
        <f t="shared" si="4"/>
        <v>0</v>
      </c>
      <c r="H37" s="19"/>
      <c r="I37" s="19"/>
      <c r="J37" s="24"/>
      <c r="K37" s="18">
        <f t="shared" si="5"/>
        <v>0</v>
      </c>
      <c r="L37" s="19"/>
      <c r="M37" s="19"/>
      <c r="N37" s="23"/>
      <c r="O37" s="21"/>
      <c r="P37" s="19"/>
      <c r="Q37" s="19"/>
      <c r="R37" s="22"/>
      <c r="S37" s="21">
        <f t="shared" si="6"/>
        <v>0</v>
      </c>
      <c r="T37" s="19"/>
      <c r="U37" s="19"/>
      <c r="V37" s="24"/>
    </row>
    <row r="38" spans="1:22" x14ac:dyDescent="0.2">
      <c r="A38" s="82">
        <f t="shared" si="7"/>
        <v>30</v>
      </c>
      <c r="B38" s="17" t="s">
        <v>11</v>
      </c>
      <c r="C38" s="18">
        <f t="shared" si="3"/>
        <v>0</v>
      </c>
      <c r="D38" s="19">
        <f t="shared" si="3"/>
        <v>0</v>
      </c>
      <c r="E38" s="19">
        <f t="shared" si="3"/>
        <v>0</v>
      </c>
      <c r="F38" s="20"/>
      <c r="G38" s="21">
        <f t="shared" si="4"/>
        <v>0</v>
      </c>
      <c r="H38" s="19"/>
      <c r="I38" s="19"/>
      <c r="J38" s="24"/>
      <c r="K38" s="18">
        <f t="shared" si="5"/>
        <v>0</v>
      </c>
      <c r="L38" s="19"/>
      <c r="M38" s="19"/>
      <c r="N38" s="23"/>
      <c r="O38" s="21"/>
      <c r="P38" s="19"/>
      <c r="Q38" s="19"/>
      <c r="R38" s="22"/>
      <c r="S38" s="21">
        <f t="shared" si="6"/>
        <v>0</v>
      </c>
      <c r="T38" s="19"/>
      <c r="U38" s="19"/>
      <c r="V38" s="24"/>
    </row>
    <row r="39" spans="1:22" x14ac:dyDescent="0.2">
      <c r="A39" s="82">
        <f t="shared" si="7"/>
        <v>31</v>
      </c>
      <c r="B39" s="17" t="s">
        <v>12</v>
      </c>
      <c r="C39" s="18">
        <f t="shared" si="3"/>
        <v>0</v>
      </c>
      <c r="D39" s="19">
        <f t="shared" si="3"/>
        <v>0</v>
      </c>
      <c r="E39" s="19">
        <f t="shared" si="3"/>
        <v>0</v>
      </c>
      <c r="F39" s="20"/>
      <c r="G39" s="21">
        <f t="shared" si="4"/>
        <v>0</v>
      </c>
      <c r="H39" s="19"/>
      <c r="I39" s="19"/>
      <c r="J39" s="22"/>
      <c r="K39" s="18">
        <f t="shared" si="5"/>
        <v>0</v>
      </c>
      <c r="L39" s="19"/>
      <c r="M39" s="19"/>
      <c r="N39" s="23"/>
      <c r="O39" s="21"/>
      <c r="P39" s="19"/>
      <c r="Q39" s="19"/>
      <c r="R39" s="22"/>
      <c r="S39" s="21">
        <f t="shared" si="6"/>
        <v>0</v>
      </c>
      <c r="T39" s="19"/>
      <c r="U39" s="19"/>
      <c r="V39" s="24"/>
    </row>
    <row r="40" spans="1:22" x14ac:dyDescent="0.2">
      <c r="A40" s="82">
        <f t="shared" si="7"/>
        <v>32</v>
      </c>
      <c r="B40" s="17" t="s">
        <v>13</v>
      </c>
      <c r="C40" s="18">
        <f t="shared" si="3"/>
        <v>0</v>
      </c>
      <c r="D40" s="19">
        <f t="shared" si="3"/>
        <v>0</v>
      </c>
      <c r="E40" s="19">
        <f t="shared" si="3"/>
        <v>0</v>
      </c>
      <c r="F40" s="20"/>
      <c r="G40" s="21">
        <f t="shared" si="4"/>
        <v>0</v>
      </c>
      <c r="H40" s="19"/>
      <c r="I40" s="19"/>
      <c r="J40" s="24"/>
      <c r="K40" s="18">
        <f t="shared" si="5"/>
        <v>0</v>
      </c>
      <c r="L40" s="19"/>
      <c r="M40" s="19"/>
      <c r="N40" s="23"/>
      <c r="O40" s="21"/>
      <c r="P40" s="19"/>
      <c r="Q40" s="19"/>
      <c r="R40" s="22"/>
      <c r="S40" s="21">
        <f t="shared" si="6"/>
        <v>0</v>
      </c>
      <c r="T40" s="19"/>
      <c r="U40" s="19"/>
      <c r="V40" s="24"/>
    </row>
    <row r="41" spans="1:22" x14ac:dyDescent="0.2">
      <c r="A41" s="82">
        <f t="shared" si="7"/>
        <v>33</v>
      </c>
      <c r="B41" s="17" t="s">
        <v>14</v>
      </c>
      <c r="C41" s="18">
        <f t="shared" si="3"/>
        <v>0</v>
      </c>
      <c r="D41" s="19">
        <f t="shared" si="3"/>
        <v>0</v>
      </c>
      <c r="E41" s="19">
        <f t="shared" si="3"/>
        <v>0</v>
      </c>
      <c r="F41" s="20"/>
      <c r="G41" s="21">
        <f t="shared" si="4"/>
        <v>0</v>
      </c>
      <c r="H41" s="19"/>
      <c r="I41" s="19"/>
      <c r="J41" s="24"/>
      <c r="K41" s="18">
        <f t="shared" si="5"/>
        <v>0</v>
      </c>
      <c r="L41" s="19"/>
      <c r="M41" s="19"/>
      <c r="N41" s="23"/>
      <c r="O41" s="21"/>
      <c r="P41" s="19"/>
      <c r="Q41" s="19"/>
      <c r="R41" s="22"/>
      <c r="S41" s="21">
        <f t="shared" si="6"/>
        <v>0</v>
      </c>
      <c r="T41" s="19"/>
      <c r="U41" s="19"/>
      <c r="V41" s="24"/>
    </row>
    <row r="42" spans="1:22" x14ac:dyDescent="0.2">
      <c r="A42" s="82">
        <f t="shared" si="7"/>
        <v>34</v>
      </c>
      <c r="B42" s="17" t="s">
        <v>26</v>
      </c>
      <c r="C42" s="18">
        <f t="shared" si="3"/>
        <v>0</v>
      </c>
      <c r="D42" s="19">
        <f t="shared" si="3"/>
        <v>0</v>
      </c>
      <c r="E42" s="19">
        <f t="shared" si="3"/>
        <v>0</v>
      </c>
      <c r="F42" s="20"/>
      <c r="G42" s="21">
        <f t="shared" si="4"/>
        <v>0</v>
      </c>
      <c r="H42" s="19"/>
      <c r="I42" s="19"/>
      <c r="J42" s="22"/>
      <c r="K42" s="18">
        <f t="shared" si="5"/>
        <v>0</v>
      </c>
      <c r="L42" s="19"/>
      <c r="M42" s="19"/>
      <c r="N42" s="23"/>
      <c r="O42" s="21"/>
      <c r="P42" s="19"/>
      <c r="Q42" s="19"/>
      <c r="R42" s="22"/>
      <c r="S42" s="21">
        <f t="shared" si="6"/>
        <v>0</v>
      </c>
      <c r="T42" s="19"/>
      <c r="U42" s="19"/>
      <c r="V42" s="24"/>
    </row>
    <row r="43" spans="1:22" ht="13.5" thickBot="1" x14ac:dyDescent="0.25">
      <c r="A43" s="97">
        <f t="shared" si="7"/>
        <v>35</v>
      </c>
      <c r="B43" s="47" t="s">
        <v>15</v>
      </c>
      <c r="C43" s="35">
        <f t="shared" si="3"/>
        <v>0</v>
      </c>
      <c r="D43" s="36">
        <f t="shared" si="3"/>
        <v>0</v>
      </c>
      <c r="E43" s="36">
        <f t="shared" si="3"/>
        <v>0</v>
      </c>
      <c r="F43" s="37"/>
      <c r="G43" s="49">
        <f t="shared" si="4"/>
        <v>0</v>
      </c>
      <c r="H43" s="48"/>
      <c r="I43" s="48"/>
      <c r="J43" s="50"/>
      <c r="K43" s="35">
        <f t="shared" si="5"/>
        <v>0</v>
      </c>
      <c r="L43" s="36"/>
      <c r="M43" s="36"/>
      <c r="N43" s="40"/>
      <c r="O43" s="49"/>
      <c r="P43" s="48"/>
      <c r="Q43" s="48"/>
      <c r="R43" s="51"/>
      <c r="S43" s="49">
        <f t="shared" si="6"/>
        <v>0</v>
      </c>
      <c r="T43" s="48"/>
      <c r="U43" s="48"/>
      <c r="V43" s="50"/>
    </row>
    <row r="44" spans="1:22" ht="30.75" thickBot="1" x14ac:dyDescent="0.3">
      <c r="A44" s="62">
        <v>36</v>
      </c>
      <c r="B44" s="63" t="s">
        <v>120</v>
      </c>
      <c r="C44" s="64">
        <f t="shared" si="3"/>
        <v>12628.068999999998</v>
      </c>
      <c r="D44" s="52">
        <f t="shared" si="3"/>
        <v>12616.249999999998</v>
      </c>
      <c r="E44" s="52">
        <f t="shared" si="3"/>
        <v>8198.4619999999977</v>
      </c>
      <c r="F44" s="57">
        <f>J44+N44+R44+V44</f>
        <v>11.819000000000001</v>
      </c>
      <c r="G44" s="65">
        <f>G45+SUM(G55:G85)+SUM(G86:G98)-G90</f>
        <v>5756.8810000000003</v>
      </c>
      <c r="H44" s="52">
        <f>H45+SUM(H55:H85)+SUM(H86:H98)-H90</f>
        <v>5747.0620000000008</v>
      </c>
      <c r="I44" s="52">
        <f>I45+SUM(I55:I85)+SUM(I86:I98)-I90</f>
        <v>3573.1329999999994</v>
      </c>
      <c r="J44" s="52">
        <f>J45+SUM(J55:J85)+SUM(J86:J98)</f>
        <v>9.8190000000000008</v>
      </c>
      <c r="K44" s="56">
        <f>K45+SUM(K55:K98)</f>
        <v>239.86199999999997</v>
      </c>
      <c r="L44" s="52">
        <f>L45+SUM(L55:L98)</f>
        <v>239.86199999999997</v>
      </c>
      <c r="M44" s="52">
        <f>M45+SUM(M55:M98)</f>
        <v>82.593000000000004</v>
      </c>
      <c r="N44" s="98"/>
      <c r="O44" s="99">
        <f>O45+SUM(O55:O98)</f>
        <v>6048.3999999999978</v>
      </c>
      <c r="P44" s="44">
        <f>P45+SUM(P55:P98)</f>
        <v>6048.3999999999978</v>
      </c>
      <c r="Q44" s="44">
        <f>Q45+SUM(Q55:Q98)</f>
        <v>4518.9329999999982</v>
      </c>
      <c r="R44" s="57"/>
      <c r="S44" s="56">
        <f>S45+SUM(S55:S98)</f>
        <v>582.92600000000004</v>
      </c>
      <c r="T44" s="52">
        <f>SUM(T55:T98)</f>
        <v>580.92600000000004</v>
      </c>
      <c r="U44" s="52">
        <f>SUM(U55:U98)</f>
        <v>23.803000000000004</v>
      </c>
      <c r="V44" s="57">
        <f>SUM(V55:V98)</f>
        <v>2</v>
      </c>
    </row>
    <row r="45" spans="1:22" x14ac:dyDescent="0.2">
      <c r="A45" s="67">
        <f>+A44+1</f>
        <v>37</v>
      </c>
      <c r="B45" s="81" t="s">
        <v>121</v>
      </c>
      <c r="C45" s="76">
        <f t="shared" si="3"/>
        <v>287.67100000000005</v>
      </c>
      <c r="D45" s="74">
        <f t="shared" si="3"/>
        <v>287.67100000000005</v>
      </c>
      <c r="E45" s="74">
        <f t="shared" si="3"/>
        <v>134.84699999999998</v>
      </c>
      <c r="F45" s="100"/>
      <c r="G45" s="101">
        <f>H45+J45</f>
        <v>169.44400000000002</v>
      </c>
      <c r="H45" s="102">
        <f>SUM(H46:H54)</f>
        <v>169.44400000000002</v>
      </c>
      <c r="I45" s="102">
        <f>SUM(I46:I53)</f>
        <v>123.249</v>
      </c>
      <c r="J45" s="103"/>
      <c r="K45" s="76">
        <f>+L45</f>
        <v>103.062</v>
      </c>
      <c r="L45" s="74">
        <f>SUM(L46:L54)</f>
        <v>103.062</v>
      </c>
      <c r="M45" s="74"/>
      <c r="N45" s="104"/>
      <c r="O45" s="101">
        <f>P45+R45</f>
        <v>15.164999999999999</v>
      </c>
      <c r="P45" s="102">
        <f>SUM(P46:P53)</f>
        <v>15.164999999999999</v>
      </c>
      <c r="Q45" s="105">
        <f>SUM(Q46:Q53)</f>
        <v>11.597999999999999</v>
      </c>
      <c r="R45" s="106"/>
      <c r="S45" s="107"/>
      <c r="T45" s="108"/>
      <c r="U45" s="108"/>
      <c r="V45" s="104"/>
    </row>
    <row r="46" spans="1:22" x14ac:dyDescent="0.2">
      <c r="A46" s="82">
        <v>38</v>
      </c>
      <c r="B46" s="32" t="s">
        <v>122</v>
      </c>
      <c r="C46" s="12">
        <f>D46+F46</f>
        <v>9</v>
      </c>
      <c r="D46" s="85">
        <f>G46+K46+O46+S46</f>
        <v>9</v>
      </c>
      <c r="E46" s="85">
        <f>I46+M46+Q46+U46</f>
        <v>6.8979999999999997</v>
      </c>
      <c r="F46" s="86"/>
      <c r="G46" s="87"/>
      <c r="H46" s="85"/>
      <c r="I46" s="85"/>
      <c r="J46" s="89"/>
      <c r="K46" s="87"/>
      <c r="L46" s="85"/>
      <c r="M46" s="85"/>
      <c r="N46" s="28"/>
      <c r="O46" s="12">
        <f>P46+R46</f>
        <v>9</v>
      </c>
      <c r="P46" s="85">
        <v>9</v>
      </c>
      <c r="Q46" s="85">
        <v>6.8979999999999997</v>
      </c>
      <c r="R46" s="89"/>
      <c r="S46" s="91"/>
      <c r="T46" s="85"/>
      <c r="U46" s="85"/>
      <c r="V46" s="109"/>
    </row>
    <row r="47" spans="1:22" x14ac:dyDescent="0.2">
      <c r="A47" s="82">
        <v>39</v>
      </c>
      <c r="B47" s="32" t="s">
        <v>123</v>
      </c>
      <c r="C47" s="12">
        <f t="shared" si="3"/>
        <v>103.062</v>
      </c>
      <c r="D47" s="85">
        <f t="shared" si="3"/>
        <v>103.062</v>
      </c>
      <c r="E47" s="85"/>
      <c r="F47" s="86"/>
      <c r="G47" s="87"/>
      <c r="H47" s="85"/>
      <c r="I47" s="85"/>
      <c r="J47" s="84"/>
      <c r="K47" s="12">
        <f>+L47</f>
        <v>103.062</v>
      </c>
      <c r="L47" s="85">
        <v>103.062</v>
      </c>
      <c r="M47" s="85"/>
      <c r="N47" s="84"/>
      <c r="O47" s="12"/>
      <c r="P47" s="85"/>
      <c r="Q47" s="85"/>
      <c r="R47" s="84"/>
      <c r="S47" s="91"/>
      <c r="T47" s="85"/>
      <c r="U47" s="85"/>
      <c r="V47" s="84"/>
    </row>
    <row r="48" spans="1:22" x14ac:dyDescent="0.2">
      <c r="A48" s="82">
        <v>40</v>
      </c>
      <c r="B48" s="32" t="s">
        <v>124</v>
      </c>
      <c r="C48" s="12">
        <f t="shared" si="3"/>
        <v>0</v>
      </c>
      <c r="D48" s="85">
        <f t="shared" si="3"/>
        <v>0</v>
      </c>
      <c r="E48" s="85"/>
      <c r="F48" s="86"/>
      <c r="G48" s="87">
        <f t="shared" ref="G48:G54" si="8">H48+J48</f>
        <v>0</v>
      </c>
      <c r="H48" s="85"/>
      <c r="I48" s="85"/>
      <c r="J48" s="84"/>
      <c r="K48" s="21"/>
      <c r="L48" s="85"/>
      <c r="M48" s="85"/>
      <c r="N48" s="84"/>
      <c r="O48" s="12"/>
      <c r="P48" s="85"/>
      <c r="Q48" s="85"/>
      <c r="R48" s="84"/>
      <c r="S48" s="91"/>
      <c r="T48" s="85"/>
      <c r="U48" s="85"/>
      <c r="V48" s="84"/>
    </row>
    <row r="49" spans="1:22" x14ac:dyDescent="0.2">
      <c r="A49" s="82">
        <v>41</v>
      </c>
      <c r="B49" s="31" t="s">
        <v>125</v>
      </c>
      <c r="C49" s="12">
        <f t="shared" si="3"/>
        <v>0</v>
      </c>
      <c r="D49" s="85">
        <f t="shared" si="3"/>
        <v>0</v>
      </c>
      <c r="E49" s="85"/>
      <c r="F49" s="86"/>
      <c r="G49" s="87">
        <f t="shared" si="8"/>
        <v>0</v>
      </c>
      <c r="H49" s="85"/>
      <c r="I49" s="85"/>
      <c r="J49" s="84"/>
      <c r="K49" s="87"/>
      <c r="L49" s="85"/>
      <c r="M49" s="85"/>
      <c r="N49" s="84"/>
      <c r="O49" s="12"/>
      <c r="P49" s="85"/>
      <c r="Q49" s="85"/>
      <c r="R49" s="84"/>
      <c r="S49" s="91"/>
      <c r="T49" s="85"/>
      <c r="U49" s="85"/>
      <c r="V49" s="84"/>
    </row>
    <row r="50" spans="1:22" x14ac:dyDescent="0.2">
      <c r="A50" s="82">
        <f>+A49+1</f>
        <v>42</v>
      </c>
      <c r="B50" s="110" t="s">
        <v>126</v>
      </c>
      <c r="C50" s="12">
        <f t="shared" si="3"/>
        <v>0</v>
      </c>
      <c r="D50" s="85">
        <f t="shared" si="3"/>
        <v>0</v>
      </c>
      <c r="E50" s="85"/>
      <c r="F50" s="86"/>
      <c r="G50" s="87">
        <f t="shared" si="8"/>
        <v>0</v>
      </c>
      <c r="H50" s="85"/>
      <c r="I50" s="85"/>
      <c r="J50" s="84"/>
      <c r="K50" s="87"/>
      <c r="L50" s="85"/>
      <c r="M50" s="85"/>
      <c r="N50" s="84"/>
      <c r="O50" s="21"/>
      <c r="P50" s="85"/>
      <c r="Q50" s="85"/>
      <c r="R50" s="84"/>
      <c r="S50" s="91"/>
      <c r="T50" s="85"/>
      <c r="U50" s="85"/>
      <c r="V50" s="84"/>
    </row>
    <row r="51" spans="1:22" x14ac:dyDescent="0.2">
      <c r="A51" s="82">
        <v>43</v>
      </c>
      <c r="B51" s="32" t="s">
        <v>127</v>
      </c>
      <c r="C51" s="12">
        <f t="shared" si="3"/>
        <v>0</v>
      </c>
      <c r="D51" s="85">
        <f t="shared" si="3"/>
        <v>0</v>
      </c>
      <c r="E51" s="85"/>
      <c r="F51" s="86"/>
      <c r="G51" s="87">
        <f t="shared" si="8"/>
        <v>0</v>
      </c>
      <c r="H51" s="85"/>
      <c r="I51" s="85"/>
      <c r="J51" s="84"/>
      <c r="K51" s="87"/>
      <c r="L51" s="85"/>
      <c r="M51" s="85"/>
      <c r="N51" s="84"/>
      <c r="O51" s="21"/>
      <c r="P51" s="85"/>
      <c r="Q51" s="85"/>
      <c r="R51" s="84"/>
      <c r="S51" s="91"/>
      <c r="T51" s="85"/>
      <c r="U51" s="85"/>
      <c r="V51" s="84"/>
    </row>
    <row r="52" spans="1:22" x14ac:dyDescent="0.2">
      <c r="A52" s="82">
        <v>44</v>
      </c>
      <c r="B52" s="32" t="s">
        <v>128</v>
      </c>
      <c r="C52" s="12">
        <f t="shared" si="3"/>
        <v>155.13</v>
      </c>
      <c r="D52" s="85">
        <f t="shared" si="3"/>
        <v>155.13</v>
      </c>
      <c r="E52" s="15">
        <f>I52+M52+Q52+U52</f>
        <v>114.852</v>
      </c>
      <c r="F52" s="20"/>
      <c r="G52" s="87">
        <f t="shared" si="8"/>
        <v>148.965</v>
      </c>
      <c r="H52" s="85">
        <v>148.965</v>
      </c>
      <c r="I52" s="85">
        <v>110.152</v>
      </c>
      <c r="J52" s="84"/>
      <c r="K52" s="87"/>
      <c r="L52" s="85"/>
      <c r="M52" s="85"/>
      <c r="N52" s="84"/>
      <c r="O52" s="12">
        <f>P52+R52</f>
        <v>6.165</v>
      </c>
      <c r="P52" s="85">
        <v>6.165</v>
      </c>
      <c r="Q52" s="85">
        <v>4.7</v>
      </c>
      <c r="R52" s="84"/>
      <c r="S52" s="91"/>
      <c r="T52" s="85"/>
      <c r="U52" s="85"/>
      <c r="V52" s="84"/>
    </row>
    <row r="53" spans="1:22" x14ac:dyDescent="0.2">
      <c r="A53" s="82">
        <v>45</v>
      </c>
      <c r="B53" s="32" t="s">
        <v>129</v>
      </c>
      <c r="C53" s="12">
        <f t="shared" si="3"/>
        <v>20.478999999999999</v>
      </c>
      <c r="D53" s="85">
        <f t="shared" si="3"/>
        <v>20.478999999999999</v>
      </c>
      <c r="E53" s="15">
        <f>I53+M53+Q53+U53</f>
        <v>13.097</v>
      </c>
      <c r="F53" s="20"/>
      <c r="G53" s="87">
        <f t="shared" si="8"/>
        <v>20.478999999999999</v>
      </c>
      <c r="H53" s="85">
        <v>20.478999999999999</v>
      </c>
      <c r="I53" s="85">
        <v>13.097</v>
      </c>
      <c r="J53" s="84"/>
      <c r="K53" s="87"/>
      <c r="L53" s="85"/>
      <c r="M53" s="85"/>
      <c r="N53" s="84"/>
      <c r="O53" s="21"/>
      <c r="P53" s="85"/>
      <c r="Q53" s="85"/>
      <c r="R53" s="84"/>
      <c r="S53" s="91"/>
      <c r="T53" s="85"/>
      <c r="U53" s="85"/>
      <c r="V53" s="84"/>
    </row>
    <row r="54" spans="1:22" ht="25.5" x14ac:dyDescent="0.2">
      <c r="A54" s="82">
        <v>46</v>
      </c>
      <c r="B54" s="95" t="s">
        <v>130</v>
      </c>
      <c r="C54" s="12">
        <f t="shared" si="3"/>
        <v>0</v>
      </c>
      <c r="D54" s="85">
        <f t="shared" si="3"/>
        <v>0</v>
      </c>
      <c r="E54" s="19"/>
      <c r="F54" s="20"/>
      <c r="G54" s="87">
        <f t="shared" si="8"/>
        <v>0</v>
      </c>
      <c r="H54" s="85"/>
      <c r="I54" s="85"/>
      <c r="J54" s="84"/>
      <c r="K54" s="87"/>
      <c r="L54" s="85"/>
      <c r="M54" s="85"/>
      <c r="N54" s="84"/>
      <c r="O54" s="21"/>
      <c r="P54" s="85"/>
      <c r="Q54" s="85"/>
      <c r="R54" s="84"/>
      <c r="S54" s="91"/>
      <c r="T54" s="85"/>
      <c r="U54" s="85"/>
      <c r="V54" s="84"/>
    </row>
    <row r="55" spans="1:22" x14ac:dyDescent="0.2">
      <c r="A55" s="82">
        <v>47</v>
      </c>
      <c r="B55" s="17" t="s">
        <v>27</v>
      </c>
      <c r="C55" s="21">
        <f t="shared" ref="C55:E60" si="9">+G55+K55+O55+S55</f>
        <v>365.226</v>
      </c>
      <c r="D55" s="19">
        <f t="shared" si="9"/>
        <v>365.226</v>
      </c>
      <c r="E55" s="19">
        <f t="shared" si="9"/>
        <v>238.83999999999997</v>
      </c>
      <c r="F55" s="20"/>
      <c r="G55" s="21">
        <f t="shared" ref="G55:G60" si="10">+H55</f>
        <v>234.202</v>
      </c>
      <c r="H55" s="19">
        <v>234.202</v>
      </c>
      <c r="I55" s="25">
        <v>159.52799999999999</v>
      </c>
      <c r="J55" s="84"/>
      <c r="K55" s="87"/>
      <c r="L55" s="85"/>
      <c r="M55" s="85"/>
      <c r="N55" s="84"/>
      <c r="O55" s="21">
        <f t="shared" ref="O55:O89" si="11">+P55</f>
        <v>107.324</v>
      </c>
      <c r="P55" s="19">
        <v>107.324</v>
      </c>
      <c r="Q55" s="19">
        <v>79.311999999999998</v>
      </c>
      <c r="R55" s="22"/>
      <c r="S55" s="18">
        <f t="shared" ref="S55:S80" si="12">+T55</f>
        <v>23.7</v>
      </c>
      <c r="T55" s="19">
        <v>23.7</v>
      </c>
      <c r="U55" s="19"/>
      <c r="V55" s="22"/>
    </row>
    <row r="56" spans="1:22" x14ac:dyDescent="0.2">
      <c r="A56" s="82">
        <f t="shared" ref="A56:A62" si="13">+A55+1</f>
        <v>48</v>
      </c>
      <c r="B56" s="17" t="s">
        <v>28</v>
      </c>
      <c r="C56" s="21">
        <f t="shared" si="9"/>
        <v>615.23500000000013</v>
      </c>
      <c r="D56" s="19">
        <f t="shared" si="9"/>
        <v>615.23500000000013</v>
      </c>
      <c r="E56" s="19">
        <f t="shared" si="9"/>
        <v>395.31299999999999</v>
      </c>
      <c r="F56" s="20"/>
      <c r="G56" s="21">
        <f t="shared" si="10"/>
        <v>410.77100000000002</v>
      </c>
      <c r="H56" s="19">
        <v>410.77100000000002</v>
      </c>
      <c r="I56" s="25">
        <v>281.18</v>
      </c>
      <c r="J56" s="84"/>
      <c r="K56" s="87"/>
      <c r="L56" s="85"/>
      <c r="M56" s="85"/>
      <c r="N56" s="84"/>
      <c r="O56" s="21">
        <f t="shared" si="11"/>
        <v>154.524</v>
      </c>
      <c r="P56" s="19">
        <v>154.524</v>
      </c>
      <c r="Q56" s="19">
        <v>114.133</v>
      </c>
      <c r="R56" s="22"/>
      <c r="S56" s="18">
        <f t="shared" si="12"/>
        <v>49.94</v>
      </c>
      <c r="T56" s="19">
        <v>49.94</v>
      </c>
      <c r="U56" s="19"/>
      <c r="V56" s="22"/>
    </row>
    <row r="57" spans="1:22" x14ac:dyDescent="0.2">
      <c r="A57" s="82">
        <f t="shared" si="13"/>
        <v>49</v>
      </c>
      <c r="B57" s="17" t="s">
        <v>16</v>
      </c>
      <c r="C57" s="21">
        <f t="shared" si="9"/>
        <v>250.35600000000002</v>
      </c>
      <c r="D57" s="19">
        <f t="shared" si="9"/>
        <v>250.35600000000002</v>
      </c>
      <c r="E57" s="19">
        <f t="shared" si="9"/>
        <v>149.86500000000001</v>
      </c>
      <c r="F57" s="20"/>
      <c r="G57" s="21">
        <f t="shared" si="10"/>
        <v>161.22800000000001</v>
      </c>
      <c r="H57" s="19">
        <v>161.22800000000001</v>
      </c>
      <c r="I57" s="25">
        <v>92.748000000000005</v>
      </c>
      <c r="J57" s="84"/>
      <c r="K57" s="87"/>
      <c r="L57" s="85"/>
      <c r="M57" s="85"/>
      <c r="N57" s="84"/>
      <c r="O57" s="21">
        <f t="shared" si="11"/>
        <v>77.254000000000005</v>
      </c>
      <c r="P57" s="19">
        <v>77.254000000000005</v>
      </c>
      <c r="Q57" s="19">
        <v>57.116999999999997</v>
      </c>
      <c r="R57" s="22"/>
      <c r="S57" s="18">
        <f t="shared" si="12"/>
        <v>11.874000000000001</v>
      </c>
      <c r="T57" s="19">
        <v>11.874000000000001</v>
      </c>
      <c r="U57" s="19"/>
      <c r="V57" s="22"/>
    </row>
    <row r="58" spans="1:22" x14ac:dyDescent="0.2">
      <c r="A58" s="82">
        <f t="shared" si="13"/>
        <v>50</v>
      </c>
      <c r="B58" s="17" t="s">
        <v>83</v>
      </c>
      <c r="C58" s="21">
        <f t="shared" si="9"/>
        <v>507.96699999999998</v>
      </c>
      <c r="D58" s="19">
        <f t="shared" si="9"/>
        <v>507.96699999999998</v>
      </c>
      <c r="E58" s="19">
        <f t="shared" si="9"/>
        <v>311.05700000000002</v>
      </c>
      <c r="F58" s="20"/>
      <c r="G58" s="21">
        <f t="shared" si="10"/>
        <v>251.68199999999999</v>
      </c>
      <c r="H58" s="19">
        <v>251.68199999999999</v>
      </c>
      <c r="I58" s="19">
        <v>160.03700000000001</v>
      </c>
      <c r="J58" s="84"/>
      <c r="K58" s="87"/>
      <c r="L58" s="85"/>
      <c r="M58" s="85"/>
      <c r="N58" s="84"/>
      <c r="O58" s="21">
        <f t="shared" si="11"/>
        <v>204.285</v>
      </c>
      <c r="P58" s="19">
        <v>204.285</v>
      </c>
      <c r="Q58" s="19">
        <v>151.02000000000001</v>
      </c>
      <c r="R58" s="22"/>
      <c r="S58" s="18">
        <f t="shared" si="12"/>
        <v>52</v>
      </c>
      <c r="T58" s="19">
        <v>52</v>
      </c>
      <c r="U58" s="19"/>
      <c r="V58" s="22"/>
    </row>
    <row r="59" spans="1:22" x14ac:dyDescent="0.2">
      <c r="A59" s="82">
        <f t="shared" si="13"/>
        <v>51</v>
      </c>
      <c r="B59" s="17" t="s">
        <v>84</v>
      </c>
      <c r="C59" s="21">
        <f t="shared" si="9"/>
        <v>187.17400000000001</v>
      </c>
      <c r="D59" s="19">
        <f t="shared" si="9"/>
        <v>187.17400000000001</v>
      </c>
      <c r="E59" s="19">
        <f t="shared" si="9"/>
        <v>118.002</v>
      </c>
      <c r="F59" s="20"/>
      <c r="G59" s="21">
        <f t="shared" si="10"/>
        <v>125.989</v>
      </c>
      <c r="H59" s="19">
        <v>125.989</v>
      </c>
      <c r="I59" s="19">
        <v>80.013999999999996</v>
      </c>
      <c r="J59" s="84"/>
      <c r="K59" s="87"/>
      <c r="L59" s="85"/>
      <c r="M59" s="85"/>
      <c r="N59" s="84"/>
      <c r="O59" s="21">
        <f t="shared" si="11"/>
        <v>51.384999999999998</v>
      </c>
      <c r="P59" s="19">
        <v>51.384999999999998</v>
      </c>
      <c r="Q59" s="19">
        <v>37.988</v>
      </c>
      <c r="R59" s="22"/>
      <c r="S59" s="18">
        <f t="shared" si="12"/>
        <v>9.8000000000000007</v>
      </c>
      <c r="T59" s="19">
        <v>9.8000000000000007</v>
      </c>
      <c r="U59" s="19"/>
      <c r="V59" s="22"/>
    </row>
    <row r="60" spans="1:22" x14ac:dyDescent="0.2">
      <c r="A60" s="82">
        <f t="shared" si="13"/>
        <v>52</v>
      </c>
      <c r="B60" s="17" t="s">
        <v>85</v>
      </c>
      <c r="C60" s="21">
        <f t="shared" si="9"/>
        <v>217.50700000000001</v>
      </c>
      <c r="D60" s="19">
        <f t="shared" si="9"/>
        <v>217.50700000000001</v>
      </c>
      <c r="E60" s="19">
        <f t="shared" si="9"/>
        <v>153.99099999999999</v>
      </c>
      <c r="F60" s="20"/>
      <c r="G60" s="21">
        <f t="shared" si="10"/>
        <v>105.001</v>
      </c>
      <c r="H60" s="19">
        <v>105.001</v>
      </c>
      <c r="I60" s="19">
        <v>76.888999999999996</v>
      </c>
      <c r="J60" s="84"/>
      <c r="K60" s="87"/>
      <c r="L60" s="85"/>
      <c r="M60" s="85"/>
      <c r="N60" s="84"/>
      <c r="O60" s="21">
        <f t="shared" si="11"/>
        <v>103.206</v>
      </c>
      <c r="P60" s="19">
        <v>103.206</v>
      </c>
      <c r="Q60" s="19">
        <v>77.102000000000004</v>
      </c>
      <c r="R60" s="22"/>
      <c r="S60" s="18">
        <f t="shared" si="12"/>
        <v>9.3000000000000007</v>
      </c>
      <c r="T60" s="19">
        <v>9.3000000000000007</v>
      </c>
      <c r="U60" s="19"/>
      <c r="V60" s="22"/>
    </row>
    <row r="61" spans="1:22" x14ac:dyDescent="0.2">
      <c r="A61" s="82">
        <f t="shared" si="13"/>
        <v>53</v>
      </c>
      <c r="B61" s="46" t="s">
        <v>86</v>
      </c>
      <c r="C61" s="21">
        <f t="shared" ref="C61:E62" si="14">G61+K61+O61+S61</f>
        <v>99.957999999999998</v>
      </c>
      <c r="D61" s="19">
        <f t="shared" si="14"/>
        <v>99.957999999999998</v>
      </c>
      <c r="E61" s="19">
        <f t="shared" si="14"/>
        <v>73.231000000000009</v>
      </c>
      <c r="F61" s="20"/>
      <c r="G61" s="21">
        <f>H61+J61</f>
        <v>12.282999999999999</v>
      </c>
      <c r="H61" s="19">
        <v>12.282999999999999</v>
      </c>
      <c r="I61" s="19">
        <v>8.3070000000000004</v>
      </c>
      <c r="J61" s="84"/>
      <c r="K61" s="87"/>
      <c r="L61" s="85"/>
      <c r="M61" s="85"/>
      <c r="N61" s="84"/>
      <c r="O61" s="21">
        <f t="shared" si="11"/>
        <v>87.674999999999997</v>
      </c>
      <c r="P61" s="19">
        <v>87.674999999999997</v>
      </c>
      <c r="Q61" s="19">
        <v>64.924000000000007</v>
      </c>
      <c r="R61" s="22"/>
      <c r="S61" s="18"/>
      <c r="T61" s="19"/>
      <c r="U61" s="19"/>
      <c r="V61" s="22"/>
    </row>
    <row r="62" spans="1:22" x14ac:dyDescent="0.2">
      <c r="A62" s="82">
        <f t="shared" si="13"/>
        <v>54</v>
      </c>
      <c r="B62" s="45" t="s">
        <v>131</v>
      </c>
      <c r="C62" s="21">
        <f t="shared" si="14"/>
        <v>77.878</v>
      </c>
      <c r="D62" s="19">
        <f t="shared" si="14"/>
        <v>77.878</v>
      </c>
      <c r="E62" s="19">
        <f t="shared" si="14"/>
        <v>56.347000000000001</v>
      </c>
      <c r="F62" s="20"/>
      <c r="G62" s="21">
        <f>H62+J62</f>
        <v>38.540999999999997</v>
      </c>
      <c r="H62" s="19">
        <v>38.540999999999997</v>
      </c>
      <c r="I62" s="19">
        <v>26.817</v>
      </c>
      <c r="J62" s="22"/>
      <c r="K62" s="21"/>
      <c r="L62" s="19"/>
      <c r="M62" s="19"/>
      <c r="N62" s="22"/>
      <c r="O62" s="21">
        <f t="shared" si="11"/>
        <v>39.337000000000003</v>
      </c>
      <c r="P62" s="19">
        <v>39.337000000000003</v>
      </c>
      <c r="Q62" s="19">
        <v>29.53</v>
      </c>
      <c r="R62" s="22"/>
      <c r="S62" s="18"/>
      <c r="T62" s="19"/>
      <c r="U62" s="19"/>
      <c r="V62" s="22"/>
    </row>
    <row r="63" spans="1:22" x14ac:dyDescent="0.2">
      <c r="A63" s="82">
        <v>55</v>
      </c>
      <c r="B63" s="17" t="s">
        <v>34</v>
      </c>
      <c r="C63" s="21">
        <f t="shared" ref="C63:F73" si="15">+G63+K63+O63+S63</f>
        <v>624.67700000000002</v>
      </c>
      <c r="D63" s="19">
        <f t="shared" si="15"/>
        <v>624.67700000000002</v>
      </c>
      <c r="E63" s="19">
        <f t="shared" si="15"/>
        <v>400.18200000000002</v>
      </c>
      <c r="F63" s="20"/>
      <c r="G63" s="21">
        <f>+H63+J63</f>
        <v>389.04599999999999</v>
      </c>
      <c r="H63" s="19">
        <v>389.04599999999999</v>
      </c>
      <c r="I63" s="19">
        <v>262.05900000000003</v>
      </c>
      <c r="J63" s="22"/>
      <c r="K63" s="87"/>
      <c r="L63" s="85"/>
      <c r="M63" s="85"/>
      <c r="N63" s="84"/>
      <c r="O63" s="21">
        <f t="shared" si="11"/>
        <v>186.53100000000001</v>
      </c>
      <c r="P63" s="19">
        <v>186.53100000000001</v>
      </c>
      <c r="Q63" s="19">
        <v>138.12299999999999</v>
      </c>
      <c r="R63" s="22"/>
      <c r="S63" s="18">
        <f t="shared" si="12"/>
        <v>49.1</v>
      </c>
      <c r="T63" s="19">
        <v>49.1</v>
      </c>
      <c r="U63" s="19"/>
      <c r="V63" s="22"/>
    </row>
    <row r="64" spans="1:22" x14ac:dyDescent="0.2">
      <c r="A64" s="82">
        <f>+A63+1</f>
        <v>56</v>
      </c>
      <c r="B64" s="17" t="s">
        <v>17</v>
      </c>
      <c r="C64" s="21">
        <f t="shared" si="15"/>
        <v>603.21199999999999</v>
      </c>
      <c r="D64" s="19">
        <f t="shared" si="15"/>
        <v>603.21199999999999</v>
      </c>
      <c r="E64" s="19">
        <f t="shared" si="15"/>
        <v>415.82900000000001</v>
      </c>
      <c r="F64" s="20"/>
      <c r="G64" s="21">
        <f t="shared" ref="G64:G71" si="16">+H64</f>
        <v>157.303</v>
      </c>
      <c r="H64" s="19">
        <v>157.303</v>
      </c>
      <c r="I64" s="19">
        <v>96.394000000000005</v>
      </c>
      <c r="J64" s="22"/>
      <c r="K64" s="21"/>
      <c r="L64" s="19"/>
      <c r="M64" s="19"/>
      <c r="N64" s="22"/>
      <c r="O64" s="21">
        <f t="shared" si="11"/>
        <v>429.40899999999999</v>
      </c>
      <c r="P64" s="19">
        <v>429.40899999999999</v>
      </c>
      <c r="Q64" s="19">
        <v>319.435</v>
      </c>
      <c r="R64" s="22"/>
      <c r="S64" s="18">
        <f>+T64+V64</f>
        <v>16.5</v>
      </c>
      <c r="T64" s="19">
        <v>16.5</v>
      </c>
      <c r="U64" s="19"/>
      <c r="V64" s="22"/>
    </row>
    <row r="65" spans="1:22" x14ac:dyDescent="0.2">
      <c r="A65" s="82">
        <f>+A64+1</f>
        <v>57</v>
      </c>
      <c r="B65" s="17" t="s">
        <v>87</v>
      </c>
      <c r="C65" s="21">
        <f t="shared" si="15"/>
        <v>111.27</v>
      </c>
      <c r="D65" s="19">
        <f t="shared" si="15"/>
        <v>111.27</v>
      </c>
      <c r="E65" s="19">
        <f t="shared" si="15"/>
        <v>76.388999999999996</v>
      </c>
      <c r="F65" s="20"/>
      <c r="G65" s="21">
        <f t="shared" si="16"/>
        <v>44.99</v>
      </c>
      <c r="H65" s="19">
        <v>44.99</v>
      </c>
      <c r="I65" s="19">
        <v>32.421999999999997</v>
      </c>
      <c r="J65" s="84"/>
      <c r="K65" s="21"/>
      <c r="L65" s="85"/>
      <c r="M65" s="85"/>
      <c r="N65" s="84"/>
      <c r="O65" s="21">
        <f t="shared" si="11"/>
        <v>58.98</v>
      </c>
      <c r="P65" s="19">
        <v>58.98</v>
      </c>
      <c r="Q65" s="19">
        <v>43.966999999999999</v>
      </c>
      <c r="R65" s="22"/>
      <c r="S65" s="18">
        <f t="shared" si="12"/>
        <v>7.3</v>
      </c>
      <c r="T65" s="19">
        <v>7.3</v>
      </c>
      <c r="U65" s="19"/>
      <c r="V65" s="22"/>
    </row>
    <row r="66" spans="1:22" x14ac:dyDescent="0.2">
      <c r="A66" s="82">
        <v>58</v>
      </c>
      <c r="B66" s="17" t="s">
        <v>29</v>
      </c>
      <c r="C66" s="21">
        <f t="shared" si="15"/>
        <v>269.07600000000002</v>
      </c>
      <c r="D66" s="19">
        <f t="shared" si="15"/>
        <v>269.07600000000002</v>
      </c>
      <c r="E66" s="19">
        <f t="shared" si="15"/>
        <v>176.86699999999999</v>
      </c>
      <c r="F66" s="20"/>
      <c r="G66" s="21">
        <f t="shared" si="16"/>
        <v>150.792</v>
      </c>
      <c r="H66" s="19">
        <v>150.792</v>
      </c>
      <c r="I66" s="19">
        <v>95.168999999999997</v>
      </c>
      <c r="J66" s="84"/>
      <c r="K66" s="87"/>
      <c r="L66" s="85"/>
      <c r="M66" s="85"/>
      <c r="N66" s="84"/>
      <c r="O66" s="21">
        <f t="shared" si="11"/>
        <v>108.28400000000001</v>
      </c>
      <c r="P66" s="19">
        <v>108.28400000000001</v>
      </c>
      <c r="Q66" s="19">
        <v>81.697999999999993</v>
      </c>
      <c r="R66" s="22"/>
      <c r="S66" s="18">
        <f t="shared" si="12"/>
        <v>10</v>
      </c>
      <c r="T66" s="19">
        <v>10</v>
      </c>
      <c r="U66" s="19"/>
      <c r="V66" s="22"/>
    </row>
    <row r="67" spans="1:22" x14ac:dyDescent="0.2">
      <c r="A67" s="82">
        <f>+A66+1</f>
        <v>59</v>
      </c>
      <c r="B67" s="17" t="s">
        <v>35</v>
      </c>
      <c r="C67" s="21">
        <f t="shared" si="15"/>
        <v>225.73699999999999</v>
      </c>
      <c r="D67" s="19">
        <f t="shared" si="15"/>
        <v>222.73699999999999</v>
      </c>
      <c r="E67" s="19">
        <f t="shared" si="15"/>
        <v>164.20500000000001</v>
      </c>
      <c r="F67" s="20">
        <f t="shared" si="15"/>
        <v>3</v>
      </c>
      <c r="G67" s="21">
        <f>+H67+J67</f>
        <v>32.887</v>
      </c>
      <c r="H67" s="19">
        <v>29.887</v>
      </c>
      <c r="I67" s="19">
        <v>21.202999999999999</v>
      </c>
      <c r="J67" s="22">
        <v>3</v>
      </c>
      <c r="K67" s="87"/>
      <c r="L67" s="85"/>
      <c r="M67" s="85"/>
      <c r="N67" s="84"/>
      <c r="O67" s="21">
        <f t="shared" si="11"/>
        <v>188.85</v>
      </c>
      <c r="P67" s="19">
        <v>188.85</v>
      </c>
      <c r="Q67" s="19">
        <v>141.00200000000001</v>
      </c>
      <c r="R67" s="22"/>
      <c r="S67" s="18">
        <f t="shared" si="12"/>
        <v>4</v>
      </c>
      <c r="T67" s="19">
        <v>4</v>
      </c>
      <c r="U67" s="19">
        <v>2</v>
      </c>
      <c r="V67" s="22"/>
    </row>
    <row r="68" spans="1:22" x14ac:dyDescent="0.2">
      <c r="A68" s="82">
        <v>60</v>
      </c>
      <c r="B68" s="17" t="s">
        <v>88</v>
      </c>
      <c r="C68" s="21">
        <f t="shared" si="15"/>
        <v>10.870999999999999</v>
      </c>
      <c r="D68" s="19">
        <f t="shared" si="15"/>
        <v>10.870999999999999</v>
      </c>
      <c r="E68" s="19">
        <f t="shared" si="15"/>
        <v>7.4240000000000004</v>
      </c>
      <c r="F68" s="20"/>
      <c r="G68" s="21"/>
      <c r="H68" s="19"/>
      <c r="I68" s="19"/>
      <c r="J68" s="84"/>
      <c r="K68" s="21">
        <f>+L68</f>
        <v>0.7</v>
      </c>
      <c r="L68" s="19">
        <v>0.7</v>
      </c>
      <c r="M68" s="85"/>
      <c r="N68" s="84"/>
      <c r="O68" s="21">
        <f t="shared" si="11"/>
        <v>10.170999999999999</v>
      </c>
      <c r="P68" s="19">
        <v>10.170999999999999</v>
      </c>
      <c r="Q68" s="19">
        <v>7.4240000000000004</v>
      </c>
      <c r="R68" s="22"/>
      <c r="S68" s="18"/>
      <c r="T68" s="19"/>
      <c r="U68" s="19"/>
      <c r="V68" s="22"/>
    </row>
    <row r="69" spans="1:22" x14ac:dyDescent="0.2">
      <c r="A69" s="82">
        <v>61</v>
      </c>
      <c r="B69" s="17" t="s">
        <v>89</v>
      </c>
      <c r="C69" s="21">
        <f t="shared" si="15"/>
        <v>330.24099999999999</v>
      </c>
      <c r="D69" s="19">
        <f t="shared" si="15"/>
        <v>330.24099999999999</v>
      </c>
      <c r="E69" s="19">
        <f t="shared" si="15"/>
        <v>215.035</v>
      </c>
      <c r="F69" s="20"/>
      <c r="G69" s="21">
        <f t="shared" si="16"/>
        <v>179.85300000000001</v>
      </c>
      <c r="H69" s="19">
        <v>179.85300000000001</v>
      </c>
      <c r="I69" s="19">
        <v>112.714</v>
      </c>
      <c r="J69" s="84"/>
      <c r="K69" s="87"/>
      <c r="L69" s="85"/>
      <c r="M69" s="85"/>
      <c r="N69" s="84"/>
      <c r="O69" s="21">
        <f t="shared" si="11"/>
        <v>135.88800000000001</v>
      </c>
      <c r="P69" s="19">
        <v>135.88800000000001</v>
      </c>
      <c r="Q69" s="19">
        <v>102.321</v>
      </c>
      <c r="R69" s="22"/>
      <c r="S69" s="18">
        <f t="shared" si="12"/>
        <v>14.5</v>
      </c>
      <c r="T69" s="19">
        <v>14.5</v>
      </c>
      <c r="U69" s="19"/>
      <c r="V69" s="22"/>
    </row>
    <row r="70" spans="1:22" x14ac:dyDescent="0.2">
      <c r="A70" s="82">
        <v>62</v>
      </c>
      <c r="B70" s="17" t="s">
        <v>18</v>
      </c>
      <c r="C70" s="21">
        <f t="shared" si="15"/>
        <v>1724.7089999999998</v>
      </c>
      <c r="D70" s="19">
        <f t="shared" si="15"/>
        <v>1723.7089999999998</v>
      </c>
      <c r="E70" s="19">
        <f t="shared" si="15"/>
        <v>1117.961</v>
      </c>
      <c r="F70" s="20">
        <f t="shared" si="15"/>
        <v>1</v>
      </c>
      <c r="G70" s="21">
        <f t="shared" si="16"/>
        <v>657.93399999999997</v>
      </c>
      <c r="H70" s="19">
        <v>657.93399999999997</v>
      </c>
      <c r="I70" s="19">
        <v>375.584</v>
      </c>
      <c r="J70" s="84"/>
      <c r="K70" s="87"/>
      <c r="L70" s="85"/>
      <c r="M70" s="85"/>
      <c r="N70" s="84"/>
      <c r="O70" s="21">
        <f>P70+R70</f>
        <v>991.77499999999998</v>
      </c>
      <c r="P70" s="19">
        <v>991.77499999999998</v>
      </c>
      <c r="Q70" s="19">
        <v>742.37699999999995</v>
      </c>
      <c r="R70" s="22"/>
      <c r="S70" s="18">
        <f>+T70+V70</f>
        <v>75</v>
      </c>
      <c r="T70" s="19">
        <v>74</v>
      </c>
      <c r="U70" s="19"/>
      <c r="V70" s="22">
        <v>1</v>
      </c>
    </row>
    <row r="71" spans="1:22" x14ac:dyDescent="0.2">
      <c r="A71" s="82">
        <v>63</v>
      </c>
      <c r="B71" s="17" t="s">
        <v>132</v>
      </c>
      <c r="C71" s="21">
        <f t="shared" si="15"/>
        <v>100.68600000000001</v>
      </c>
      <c r="D71" s="19">
        <f t="shared" si="15"/>
        <v>99.686000000000007</v>
      </c>
      <c r="E71" s="19">
        <f t="shared" si="15"/>
        <v>55.722000000000001</v>
      </c>
      <c r="F71" s="20">
        <f t="shared" si="15"/>
        <v>1</v>
      </c>
      <c r="G71" s="21">
        <f t="shared" si="16"/>
        <v>90.686000000000007</v>
      </c>
      <c r="H71" s="19">
        <v>90.686000000000007</v>
      </c>
      <c r="I71" s="19">
        <v>55.722000000000001</v>
      </c>
      <c r="J71" s="22"/>
      <c r="K71" s="21"/>
      <c r="L71" s="19"/>
      <c r="M71" s="19"/>
      <c r="N71" s="22"/>
      <c r="O71" s="21"/>
      <c r="P71" s="19"/>
      <c r="Q71" s="19"/>
      <c r="R71" s="22"/>
      <c r="S71" s="18">
        <f>+T71+V71</f>
        <v>10</v>
      </c>
      <c r="T71" s="19">
        <v>9</v>
      </c>
      <c r="U71" s="19"/>
      <c r="V71" s="22">
        <v>1</v>
      </c>
    </row>
    <row r="72" spans="1:22" x14ac:dyDescent="0.2">
      <c r="A72" s="82">
        <v>64</v>
      </c>
      <c r="B72" s="17" t="s">
        <v>90</v>
      </c>
      <c r="C72" s="21">
        <f t="shared" si="15"/>
        <v>1181.079</v>
      </c>
      <c r="D72" s="19">
        <f t="shared" si="15"/>
        <v>1175.3890000000001</v>
      </c>
      <c r="E72" s="19">
        <f t="shared" si="15"/>
        <v>807.976</v>
      </c>
      <c r="F72" s="19">
        <f t="shared" si="15"/>
        <v>5.69</v>
      </c>
      <c r="G72" s="21">
        <f>+H72+J72</f>
        <v>302.45499999999998</v>
      </c>
      <c r="H72" s="19">
        <v>296.76499999999999</v>
      </c>
      <c r="I72" s="19">
        <v>183.374</v>
      </c>
      <c r="J72" s="22">
        <v>5.69</v>
      </c>
      <c r="K72" s="87"/>
      <c r="L72" s="85"/>
      <c r="M72" s="85"/>
      <c r="N72" s="84"/>
      <c r="O72" s="21">
        <f>P72+R72</f>
        <v>839.62400000000002</v>
      </c>
      <c r="P72" s="19">
        <v>839.62400000000002</v>
      </c>
      <c r="Q72" s="19">
        <v>624.60199999999998</v>
      </c>
      <c r="R72" s="22"/>
      <c r="S72" s="18">
        <f t="shared" si="12"/>
        <v>39</v>
      </c>
      <c r="T72" s="19">
        <v>39</v>
      </c>
      <c r="U72" s="19"/>
      <c r="V72" s="22"/>
    </row>
    <row r="73" spans="1:22" x14ac:dyDescent="0.2">
      <c r="A73" s="82">
        <f>+A72+1</f>
        <v>65</v>
      </c>
      <c r="B73" s="17" t="s">
        <v>19</v>
      </c>
      <c r="C73" s="21">
        <f t="shared" si="15"/>
        <v>744.85</v>
      </c>
      <c r="D73" s="19">
        <f t="shared" si="15"/>
        <v>744.85</v>
      </c>
      <c r="E73" s="19">
        <f t="shared" si="15"/>
        <v>480.98</v>
      </c>
      <c r="F73" s="19"/>
      <c r="G73" s="21">
        <f>+H73+J73</f>
        <v>276.029</v>
      </c>
      <c r="H73" s="19">
        <v>276.029</v>
      </c>
      <c r="I73" s="19">
        <v>141.018</v>
      </c>
      <c r="J73" s="22"/>
      <c r="K73" s="87"/>
      <c r="L73" s="85"/>
      <c r="M73" s="85"/>
      <c r="N73" s="84"/>
      <c r="O73" s="21">
        <f t="shared" si="11"/>
        <v>453.82100000000003</v>
      </c>
      <c r="P73" s="19">
        <v>453.82100000000003</v>
      </c>
      <c r="Q73" s="19">
        <v>339.96199999999999</v>
      </c>
      <c r="R73" s="22"/>
      <c r="S73" s="18">
        <f t="shared" si="12"/>
        <v>15</v>
      </c>
      <c r="T73" s="19">
        <v>15</v>
      </c>
      <c r="U73" s="19"/>
      <c r="V73" s="22"/>
    </row>
    <row r="74" spans="1:22" x14ac:dyDescent="0.2">
      <c r="A74" s="82">
        <f>+A73+1</f>
        <v>66</v>
      </c>
      <c r="B74" s="46" t="s">
        <v>133</v>
      </c>
      <c r="C74" s="21">
        <f t="shared" ref="C74:E75" si="17">G74+K74+O74+S74</f>
        <v>37.659999999999997</v>
      </c>
      <c r="D74" s="19">
        <f t="shared" si="17"/>
        <v>37.659999999999997</v>
      </c>
      <c r="E74" s="19">
        <f t="shared" si="17"/>
        <v>26.902999999999999</v>
      </c>
      <c r="F74" s="20"/>
      <c r="G74" s="21">
        <f>H74+J74</f>
        <v>33.159999999999997</v>
      </c>
      <c r="H74" s="19">
        <v>33.159999999999997</v>
      </c>
      <c r="I74" s="19">
        <v>24.834</v>
      </c>
      <c r="J74" s="22"/>
      <c r="K74" s="21"/>
      <c r="L74" s="19"/>
      <c r="M74" s="19"/>
      <c r="N74" s="22"/>
      <c r="O74" s="21"/>
      <c r="P74" s="19"/>
      <c r="Q74" s="19"/>
      <c r="R74" s="22"/>
      <c r="S74" s="18">
        <f t="shared" si="12"/>
        <v>4.5</v>
      </c>
      <c r="T74" s="19">
        <v>4.5</v>
      </c>
      <c r="U74" s="19">
        <v>2.069</v>
      </c>
      <c r="V74" s="22"/>
    </row>
    <row r="75" spans="1:22" x14ac:dyDescent="0.2">
      <c r="A75" s="82">
        <f>+A74+1</f>
        <v>67</v>
      </c>
      <c r="B75" s="17" t="s">
        <v>91</v>
      </c>
      <c r="C75" s="21">
        <f t="shared" si="17"/>
        <v>400.32900000000001</v>
      </c>
      <c r="D75" s="19">
        <f t="shared" si="17"/>
        <v>400.32900000000001</v>
      </c>
      <c r="E75" s="19">
        <f t="shared" si="17"/>
        <v>259.84100000000001</v>
      </c>
      <c r="F75" s="20"/>
      <c r="G75" s="21">
        <f>H75+J75</f>
        <v>194.916</v>
      </c>
      <c r="H75" s="19">
        <v>194.916</v>
      </c>
      <c r="I75" s="19">
        <v>119.081</v>
      </c>
      <c r="J75" s="22"/>
      <c r="K75" s="87"/>
      <c r="L75" s="85"/>
      <c r="M75" s="85"/>
      <c r="N75" s="84"/>
      <c r="O75" s="21">
        <f t="shared" si="11"/>
        <v>187.41300000000001</v>
      </c>
      <c r="P75" s="19">
        <v>187.41300000000001</v>
      </c>
      <c r="Q75" s="19">
        <v>140.76</v>
      </c>
      <c r="R75" s="22"/>
      <c r="S75" s="18">
        <f t="shared" si="12"/>
        <v>18</v>
      </c>
      <c r="T75" s="19">
        <v>18</v>
      </c>
      <c r="U75" s="19"/>
      <c r="V75" s="22"/>
    </row>
    <row r="76" spans="1:22" x14ac:dyDescent="0.2">
      <c r="A76" s="82">
        <f>+A75+1</f>
        <v>68</v>
      </c>
      <c r="B76" s="17" t="s">
        <v>20</v>
      </c>
      <c r="C76" s="21">
        <f t="shared" ref="C76:E78" si="18">+G76+K76+O76+S76</f>
        <v>646.21299999999997</v>
      </c>
      <c r="D76" s="19">
        <f t="shared" si="18"/>
        <v>646.21299999999997</v>
      </c>
      <c r="E76" s="19">
        <f t="shared" si="18"/>
        <v>410.47200000000004</v>
      </c>
      <c r="F76" s="20"/>
      <c r="G76" s="21">
        <f>+H76</f>
        <v>251.79900000000001</v>
      </c>
      <c r="H76" s="19">
        <v>251.79900000000001</v>
      </c>
      <c r="I76" s="19">
        <v>125.61499999999999</v>
      </c>
      <c r="J76" s="84"/>
      <c r="K76" s="87"/>
      <c r="L76" s="85"/>
      <c r="M76" s="85"/>
      <c r="N76" s="84"/>
      <c r="O76" s="21">
        <f t="shared" si="11"/>
        <v>379.91399999999999</v>
      </c>
      <c r="P76" s="19">
        <v>379.91399999999999</v>
      </c>
      <c r="Q76" s="19">
        <v>284.85700000000003</v>
      </c>
      <c r="R76" s="22"/>
      <c r="S76" s="18">
        <f t="shared" si="12"/>
        <v>14.5</v>
      </c>
      <c r="T76" s="19">
        <v>14.5</v>
      </c>
      <c r="U76" s="19"/>
      <c r="V76" s="22"/>
    </row>
    <row r="77" spans="1:22" x14ac:dyDescent="0.2">
      <c r="A77" s="82">
        <f>+A76+1</f>
        <v>69</v>
      </c>
      <c r="B77" s="17" t="s">
        <v>134</v>
      </c>
      <c r="C77" s="21">
        <f t="shared" si="18"/>
        <v>154.251</v>
      </c>
      <c r="D77" s="19">
        <f t="shared" si="18"/>
        <v>154.251</v>
      </c>
      <c r="E77" s="19">
        <f t="shared" si="18"/>
        <v>87.855999999999995</v>
      </c>
      <c r="F77" s="20"/>
      <c r="G77" s="21">
        <f>+H77</f>
        <v>102.15900000000001</v>
      </c>
      <c r="H77" s="19">
        <v>102.15900000000001</v>
      </c>
      <c r="I77" s="19">
        <v>54.658000000000001</v>
      </c>
      <c r="J77" s="22"/>
      <c r="K77" s="21"/>
      <c r="L77" s="19"/>
      <c r="M77" s="19"/>
      <c r="N77" s="22"/>
      <c r="O77" s="21">
        <f t="shared" si="11"/>
        <v>44.892000000000003</v>
      </c>
      <c r="P77" s="19">
        <v>44.892000000000003</v>
      </c>
      <c r="Q77" s="19">
        <v>33.198</v>
      </c>
      <c r="R77" s="22"/>
      <c r="S77" s="18">
        <f t="shared" si="12"/>
        <v>7.2</v>
      </c>
      <c r="T77" s="19">
        <v>7.2</v>
      </c>
      <c r="U77" s="19"/>
      <c r="V77" s="22"/>
    </row>
    <row r="78" spans="1:22" x14ac:dyDescent="0.2">
      <c r="A78" s="82">
        <v>70</v>
      </c>
      <c r="B78" s="46" t="s">
        <v>135</v>
      </c>
      <c r="C78" s="21">
        <f>+G78+K78+O78+S78</f>
        <v>41.170999999999999</v>
      </c>
      <c r="D78" s="19">
        <f t="shared" si="18"/>
        <v>41.170999999999999</v>
      </c>
      <c r="E78" s="19">
        <f t="shared" si="18"/>
        <v>28.078000000000003</v>
      </c>
      <c r="F78" s="20"/>
      <c r="G78" s="21">
        <f>+H78</f>
        <v>39.658999999999999</v>
      </c>
      <c r="H78" s="19">
        <v>39.658999999999999</v>
      </c>
      <c r="I78" s="19">
        <v>27.382000000000001</v>
      </c>
      <c r="J78" s="22"/>
      <c r="K78" s="21"/>
      <c r="L78" s="19"/>
      <c r="M78" s="19"/>
      <c r="N78" s="22"/>
      <c r="O78" s="21"/>
      <c r="P78" s="19"/>
      <c r="Q78" s="19"/>
      <c r="R78" s="22"/>
      <c r="S78" s="18">
        <f t="shared" si="12"/>
        <v>1.512</v>
      </c>
      <c r="T78" s="19">
        <v>1.512</v>
      </c>
      <c r="U78" s="19">
        <v>0.69599999999999995</v>
      </c>
      <c r="V78" s="22"/>
    </row>
    <row r="79" spans="1:22" x14ac:dyDescent="0.2">
      <c r="A79" s="82">
        <f t="shared" ref="A79:A142" si="19">+A78+1</f>
        <v>71</v>
      </c>
      <c r="B79" s="17" t="s">
        <v>21</v>
      </c>
      <c r="C79" s="21">
        <f t="shared" ref="C79:F164" si="20">G79+K79+O79+S79</f>
        <v>660.67700000000002</v>
      </c>
      <c r="D79" s="19">
        <f>H79+L79+P79+T79</f>
        <v>659.548</v>
      </c>
      <c r="E79" s="19">
        <f>I79+M79+Q79+U79</f>
        <v>439.84999999999997</v>
      </c>
      <c r="F79" s="19">
        <f>+J79+N79+R79+V79</f>
        <v>1.129</v>
      </c>
      <c r="G79" s="21">
        <f>H79+J79</f>
        <v>208.93199999999999</v>
      </c>
      <c r="H79" s="19">
        <v>207.803</v>
      </c>
      <c r="I79" s="19">
        <v>118.34399999999999</v>
      </c>
      <c r="J79" s="22">
        <v>1.129</v>
      </c>
      <c r="K79" s="87"/>
      <c r="L79" s="85"/>
      <c r="M79" s="85"/>
      <c r="N79" s="84"/>
      <c r="O79" s="21">
        <f t="shared" si="11"/>
        <v>428.745</v>
      </c>
      <c r="P79" s="19">
        <v>428.745</v>
      </c>
      <c r="Q79" s="19">
        <v>321.50599999999997</v>
      </c>
      <c r="R79" s="22"/>
      <c r="S79" s="18">
        <f t="shared" si="12"/>
        <v>23</v>
      </c>
      <c r="T79" s="19">
        <v>23</v>
      </c>
      <c r="U79" s="19"/>
      <c r="V79" s="22"/>
    </row>
    <row r="80" spans="1:22" x14ac:dyDescent="0.2">
      <c r="A80" s="82">
        <f t="shared" si="19"/>
        <v>72</v>
      </c>
      <c r="B80" s="46" t="s">
        <v>136</v>
      </c>
      <c r="C80" s="21">
        <f t="shared" si="20"/>
        <v>34.462000000000003</v>
      </c>
      <c r="D80" s="19">
        <f>H80+L80+P80+T80</f>
        <v>34.462000000000003</v>
      </c>
      <c r="E80" s="19">
        <f>I80+M80+Q80+U80</f>
        <v>25.736000000000001</v>
      </c>
      <c r="F80" s="20"/>
      <c r="G80" s="21">
        <f>H80+J80</f>
        <v>32.862000000000002</v>
      </c>
      <c r="H80" s="19">
        <v>32.862000000000002</v>
      </c>
      <c r="I80" s="19">
        <v>25</v>
      </c>
      <c r="J80" s="22"/>
      <c r="K80" s="21"/>
      <c r="L80" s="19"/>
      <c r="M80" s="19"/>
      <c r="N80" s="22"/>
      <c r="O80" s="21"/>
      <c r="P80" s="19"/>
      <c r="Q80" s="19"/>
      <c r="R80" s="22"/>
      <c r="S80" s="18">
        <f t="shared" si="12"/>
        <v>1.6</v>
      </c>
      <c r="T80" s="19">
        <v>1.6</v>
      </c>
      <c r="U80" s="19">
        <v>0.73599999999999999</v>
      </c>
      <c r="V80" s="22"/>
    </row>
    <row r="81" spans="1:22" x14ac:dyDescent="0.2">
      <c r="A81" s="82">
        <f t="shared" si="19"/>
        <v>73</v>
      </c>
      <c r="B81" s="17" t="s">
        <v>92</v>
      </c>
      <c r="C81" s="21">
        <f t="shared" ref="C81:E88" si="21">+G81+K81+O81+S81</f>
        <v>778.90199999999993</v>
      </c>
      <c r="D81" s="19">
        <f t="shared" si="21"/>
        <v>778.90199999999993</v>
      </c>
      <c r="E81" s="19">
        <f t="shared" si="21"/>
        <v>465.16399999999999</v>
      </c>
      <c r="F81" s="20"/>
      <c r="G81" s="21">
        <f t="shared" ref="G81:G88" si="22">+H81</f>
        <v>341.57100000000003</v>
      </c>
      <c r="H81" s="19">
        <v>341.57100000000003</v>
      </c>
      <c r="I81" s="19">
        <v>160.738</v>
      </c>
      <c r="J81" s="84"/>
      <c r="K81" s="87"/>
      <c r="L81" s="85"/>
      <c r="M81" s="85"/>
      <c r="N81" s="84"/>
      <c r="O81" s="21">
        <f t="shared" si="11"/>
        <v>405.93099999999998</v>
      </c>
      <c r="P81" s="19">
        <v>405.93099999999998</v>
      </c>
      <c r="Q81" s="19">
        <v>304.42599999999999</v>
      </c>
      <c r="R81" s="84"/>
      <c r="S81" s="18">
        <f>+T81</f>
        <v>31.4</v>
      </c>
      <c r="T81" s="19">
        <v>31.4</v>
      </c>
      <c r="U81" s="19"/>
      <c r="V81" s="22"/>
    </row>
    <row r="82" spans="1:22" x14ac:dyDescent="0.2">
      <c r="A82" s="82">
        <f t="shared" si="19"/>
        <v>74</v>
      </c>
      <c r="B82" s="17" t="s">
        <v>32</v>
      </c>
      <c r="C82" s="21">
        <f t="shared" si="21"/>
        <v>325.79599999999994</v>
      </c>
      <c r="D82" s="19">
        <f t="shared" si="21"/>
        <v>325.79599999999994</v>
      </c>
      <c r="E82" s="19">
        <f t="shared" si="21"/>
        <v>207.63200000000001</v>
      </c>
      <c r="F82" s="20"/>
      <c r="G82" s="21">
        <f>+H82+J82</f>
        <v>16.977</v>
      </c>
      <c r="H82" s="19">
        <v>16.977</v>
      </c>
      <c r="I82" s="19"/>
      <c r="J82" s="22"/>
      <c r="K82" s="21">
        <f>L82+N82</f>
        <v>136.1</v>
      </c>
      <c r="L82" s="19">
        <v>136.1</v>
      </c>
      <c r="M82" s="19">
        <v>82.593000000000004</v>
      </c>
      <c r="N82" s="22"/>
      <c r="O82" s="21">
        <f t="shared" si="11"/>
        <v>165.31899999999999</v>
      </c>
      <c r="P82" s="19">
        <v>165.31899999999999</v>
      </c>
      <c r="Q82" s="19">
        <v>125.039</v>
      </c>
      <c r="R82" s="22"/>
      <c r="S82" s="18">
        <f>+T82</f>
        <v>7.4</v>
      </c>
      <c r="T82" s="19">
        <v>7.4</v>
      </c>
      <c r="U82" s="19"/>
      <c r="V82" s="22"/>
    </row>
    <row r="83" spans="1:22" x14ac:dyDescent="0.2">
      <c r="A83" s="82">
        <v>75</v>
      </c>
      <c r="B83" s="17" t="s">
        <v>93</v>
      </c>
      <c r="C83" s="21">
        <f t="shared" si="21"/>
        <v>406.80399999999997</v>
      </c>
      <c r="D83" s="19">
        <f t="shared" si="21"/>
        <v>406.80399999999997</v>
      </c>
      <c r="E83" s="19">
        <f t="shared" si="21"/>
        <v>294.00099999999998</v>
      </c>
      <c r="F83" s="20"/>
      <c r="G83" s="21">
        <f t="shared" si="22"/>
        <v>352.59899999999999</v>
      </c>
      <c r="H83" s="19">
        <v>352.59899999999999</v>
      </c>
      <c r="I83" s="19">
        <v>261.88499999999999</v>
      </c>
      <c r="J83" s="84"/>
      <c r="K83" s="87"/>
      <c r="L83" s="85"/>
      <c r="M83" s="85"/>
      <c r="N83" s="84"/>
      <c r="O83" s="21">
        <f t="shared" si="11"/>
        <v>25.704999999999998</v>
      </c>
      <c r="P83" s="19">
        <v>25.704999999999998</v>
      </c>
      <c r="Q83" s="19">
        <v>19.7</v>
      </c>
      <c r="R83" s="22"/>
      <c r="S83" s="18">
        <f>+T83+V83</f>
        <v>28.5</v>
      </c>
      <c r="T83" s="19">
        <v>28.5</v>
      </c>
      <c r="U83" s="19">
        <v>12.416</v>
      </c>
      <c r="V83" s="22"/>
    </row>
    <row r="84" spans="1:22" x14ac:dyDescent="0.2">
      <c r="A84" s="82">
        <f t="shared" si="19"/>
        <v>76</v>
      </c>
      <c r="B84" s="17" t="s">
        <v>30</v>
      </c>
      <c r="C84" s="21">
        <f t="shared" si="21"/>
        <v>119.569</v>
      </c>
      <c r="D84" s="19">
        <f t="shared" si="21"/>
        <v>119.569</v>
      </c>
      <c r="E84" s="19">
        <f t="shared" si="21"/>
        <v>86.772000000000006</v>
      </c>
      <c r="F84" s="20"/>
      <c r="G84" s="21">
        <f t="shared" si="22"/>
        <v>94.293999999999997</v>
      </c>
      <c r="H84" s="19">
        <v>94.293999999999997</v>
      </c>
      <c r="I84" s="19">
        <v>71.525000000000006</v>
      </c>
      <c r="J84" s="84"/>
      <c r="K84" s="87"/>
      <c r="L84" s="85"/>
      <c r="M84" s="85"/>
      <c r="N84" s="84"/>
      <c r="O84" s="21">
        <f t="shared" si="11"/>
        <v>13.775</v>
      </c>
      <c r="P84" s="19">
        <v>13.775</v>
      </c>
      <c r="Q84" s="19">
        <v>10.557</v>
      </c>
      <c r="R84" s="22"/>
      <c r="S84" s="18">
        <f t="shared" ref="S84:S89" si="23">T84+V84</f>
        <v>11.5</v>
      </c>
      <c r="T84" s="19">
        <v>11.5</v>
      </c>
      <c r="U84" s="19">
        <v>4.6900000000000004</v>
      </c>
      <c r="V84" s="22"/>
    </row>
    <row r="85" spans="1:22" x14ac:dyDescent="0.2">
      <c r="A85" s="82">
        <f t="shared" si="19"/>
        <v>77</v>
      </c>
      <c r="B85" s="46" t="s">
        <v>22</v>
      </c>
      <c r="C85" s="21">
        <f t="shared" si="21"/>
        <v>86.653000000000006</v>
      </c>
      <c r="D85" s="19">
        <f t="shared" si="21"/>
        <v>86.653000000000006</v>
      </c>
      <c r="E85" s="19">
        <f t="shared" si="21"/>
        <v>47.442</v>
      </c>
      <c r="F85" s="20"/>
      <c r="G85" s="21">
        <f t="shared" si="22"/>
        <v>65.653000000000006</v>
      </c>
      <c r="H85" s="19">
        <v>65.653000000000006</v>
      </c>
      <c r="I85" s="19">
        <v>47.442</v>
      </c>
      <c r="J85" s="84"/>
      <c r="K85" s="87"/>
      <c r="L85" s="85"/>
      <c r="M85" s="85"/>
      <c r="N85" s="84"/>
      <c r="O85" s="21"/>
      <c r="P85" s="19"/>
      <c r="Q85" s="19"/>
      <c r="R85" s="22"/>
      <c r="S85" s="18">
        <f t="shared" si="23"/>
        <v>21</v>
      </c>
      <c r="T85" s="19">
        <v>21</v>
      </c>
      <c r="U85" s="19"/>
      <c r="V85" s="22"/>
    </row>
    <row r="86" spans="1:22" x14ac:dyDescent="0.2">
      <c r="A86" s="82">
        <v>78</v>
      </c>
      <c r="B86" s="46" t="s">
        <v>137</v>
      </c>
      <c r="C86" s="21">
        <f t="shared" si="21"/>
        <v>90.528999999999996</v>
      </c>
      <c r="D86" s="19">
        <f t="shared" si="21"/>
        <v>90.528999999999996</v>
      </c>
      <c r="E86" s="19">
        <f t="shared" si="21"/>
        <v>67.105000000000004</v>
      </c>
      <c r="F86" s="20"/>
      <c r="G86" s="21">
        <f t="shared" si="22"/>
        <v>31.66</v>
      </c>
      <c r="H86" s="19">
        <v>31.66</v>
      </c>
      <c r="I86" s="19">
        <v>22.754000000000001</v>
      </c>
      <c r="J86" s="84"/>
      <c r="K86" s="87"/>
      <c r="L86" s="85"/>
      <c r="M86" s="85"/>
      <c r="N86" s="84"/>
      <c r="O86" s="21">
        <f t="shared" si="11"/>
        <v>57.869</v>
      </c>
      <c r="P86" s="19">
        <v>57.869</v>
      </c>
      <c r="Q86" s="19">
        <v>44.350999999999999</v>
      </c>
      <c r="R86" s="22"/>
      <c r="S86" s="18">
        <f t="shared" si="23"/>
        <v>1</v>
      </c>
      <c r="T86" s="19">
        <v>1</v>
      </c>
      <c r="U86" s="19"/>
      <c r="V86" s="22"/>
    </row>
    <row r="87" spans="1:22" x14ac:dyDescent="0.2">
      <c r="A87" s="82">
        <f t="shared" si="19"/>
        <v>79</v>
      </c>
      <c r="B87" s="17" t="s">
        <v>94</v>
      </c>
      <c r="C87" s="21">
        <f t="shared" si="21"/>
        <v>227.31699999999998</v>
      </c>
      <c r="D87" s="19">
        <f t="shared" si="21"/>
        <v>227.31699999999998</v>
      </c>
      <c r="E87" s="19">
        <f t="shared" si="21"/>
        <v>146.53799999999998</v>
      </c>
      <c r="F87" s="20"/>
      <c r="G87" s="21">
        <f t="shared" si="22"/>
        <v>159.31399999999999</v>
      </c>
      <c r="H87" s="19">
        <v>159.31399999999999</v>
      </c>
      <c r="I87" s="19">
        <v>103.696</v>
      </c>
      <c r="J87" s="84"/>
      <c r="K87" s="87"/>
      <c r="L87" s="85"/>
      <c r="M87" s="85"/>
      <c r="N87" s="84"/>
      <c r="O87" s="21">
        <f t="shared" si="11"/>
        <v>56.302999999999997</v>
      </c>
      <c r="P87" s="19">
        <v>56.302999999999997</v>
      </c>
      <c r="Q87" s="19">
        <v>41.646000000000001</v>
      </c>
      <c r="R87" s="22"/>
      <c r="S87" s="18">
        <f t="shared" si="23"/>
        <v>11.7</v>
      </c>
      <c r="T87" s="19">
        <v>11.7</v>
      </c>
      <c r="U87" s="19">
        <v>1.196</v>
      </c>
      <c r="V87" s="22"/>
    </row>
    <row r="88" spans="1:22" x14ac:dyDescent="0.2">
      <c r="A88" s="82">
        <v>80</v>
      </c>
      <c r="B88" s="17" t="s">
        <v>138</v>
      </c>
      <c r="C88" s="27">
        <f t="shared" si="21"/>
        <v>67.899000000000001</v>
      </c>
      <c r="D88" s="19">
        <f t="shared" si="21"/>
        <v>67.899000000000001</v>
      </c>
      <c r="E88" s="18">
        <f t="shared" si="21"/>
        <v>43.929000000000002</v>
      </c>
      <c r="F88" s="20"/>
      <c r="G88" s="21">
        <f t="shared" si="22"/>
        <v>40.21</v>
      </c>
      <c r="H88" s="19">
        <v>40.21</v>
      </c>
      <c r="I88" s="19">
        <v>25.751000000000001</v>
      </c>
      <c r="J88" s="84"/>
      <c r="K88" s="87"/>
      <c r="L88" s="85"/>
      <c r="M88" s="85"/>
      <c r="N88" s="84"/>
      <c r="O88" s="21">
        <f t="shared" si="11"/>
        <v>24.588999999999999</v>
      </c>
      <c r="P88" s="19">
        <v>24.588999999999999</v>
      </c>
      <c r="Q88" s="19">
        <v>18.178000000000001</v>
      </c>
      <c r="R88" s="22"/>
      <c r="S88" s="18">
        <f t="shared" si="23"/>
        <v>3.1</v>
      </c>
      <c r="T88" s="19">
        <v>3.1</v>
      </c>
      <c r="U88" s="19"/>
      <c r="V88" s="22"/>
    </row>
    <row r="89" spans="1:22" x14ac:dyDescent="0.2">
      <c r="A89" s="82">
        <v>81</v>
      </c>
      <c r="B89" s="46" t="s">
        <v>5</v>
      </c>
      <c r="C89" s="21">
        <f t="shared" si="20"/>
        <v>14.457000000000001</v>
      </c>
      <c r="D89" s="19">
        <f t="shared" si="20"/>
        <v>14.457000000000001</v>
      </c>
      <c r="E89" s="19">
        <f t="shared" si="20"/>
        <v>11.08</v>
      </c>
      <c r="F89" s="20">
        <f>+J89+N89+R89+V89</f>
        <v>0</v>
      </c>
      <c r="G89" s="21">
        <f t="shared" ref="G89:G171" si="24">H89+J89</f>
        <v>0</v>
      </c>
      <c r="H89" s="19"/>
      <c r="I89" s="19"/>
      <c r="J89" s="22"/>
      <c r="K89" s="87"/>
      <c r="L89" s="85"/>
      <c r="M89" s="85"/>
      <c r="N89" s="84"/>
      <c r="O89" s="21">
        <f t="shared" si="11"/>
        <v>14.457000000000001</v>
      </c>
      <c r="P89" s="19">
        <v>14.457000000000001</v>
      </c>
      <c r="Q89" s="19">
        <v>11.08</v>
      </c>
      <c r="R89" s="22"/>
      <c r="S89" s="18">
        <f t="shared" si="23"/>
        <v>0</v>
      </c>
      <c r="T89" s="19"/>
      <c r="U89" s="19"/>
      <c r="V89" s="22"/>
    </row>
    <row r="90" spans="1:22" x14ac:dyDescent="0.2">
      <c r="A90" s="82">
        <v>82</v>
      </c>
      <c r="B90" s="31" t="s">
        <v>139</v>
      </c>
      <c r="C90" s="12">
        <f t="shared" si="20"/>
        <v>0</v>
      </c>
      <c r="D90" s="15">
        <f t="shared" si="20"/>
        <v>0</v>
      </c>
      <c r="E90" s="15"/>
      <c r="F90" s="20"/>
      <c r="G90" s="12">
        <f t="shared" si="24"/>
        <v>0</v>
      </c>
      <c r="H90" s="15"/>
      <c r="I90" s="19"/>
      <c r="J90" s="22"/>
      <c r="K90" s="87"/>
      <c r="L90" s="85"/>
      <c r="M90" s="85"/>
      <c r="N90" s="84"/>
      <c r="O90" s="21"/>
      <c r="P90" s="19"/>
      <c r="Q90" s="19"/>
      <c r="R90" s="22"/>
      <c r="S90" s="18"/>
      <c r="T90" s="19"/>
      <c r="U90" s="19"/>
      <c r="V90" s="22"/>
    </row>
    <row r="91" spans="1:22" x14ac:dyDescent="0.2">
      <c r="A91" s="82">
        <v>83</v>
      </c>
      <c r="B91" s="17" t="s">
        <v>7</v>
      </c>
      <c r="C91" s="21">
        <f t="shared" si="20"/>
        <v>0</v>
      </c>
      <c r="D91" s="19">
        <f t="shared" si="20"/>
        <v>0</v>
      </c>
      <c r="E91" s="19">
        <f t="shared" si="20"/>
        <v>0</v>
      </c>
      <c r="F91" s="20"/>
      <c r="G91" s="21">
        <f t="shared" si="24"/>
        <v>0</v>
      </c>
      <c r="H91" s="19"/>
      <c r="I91" s="19"/>
      <c r="J91" s="24"/>
      <c r="K91" s="87"/>
      <c r="L91" s="85"/>
      <c r="M91" s="85"/>
      <c r="N91" s="84"/>
      <c r="O91" s="21"/>
      <c r="P91" s="19"/>
      <c r="Q91" s="19"/>
      <c r="R91" s="22"/>
      <c r="S91" s="18"/>
      <c r="T91" s="19"/>
      <c r="U91" s="19"/>
      <c r="V91" s="22"/>
    </row>
    <row r="92" spans="1:22" x14ac:dyDescent="0.2">
      <c r="A92" s="82">
        <v>84</v>
      </c>
      <c r="B92" s="17" t="s">
        <v>8</v>
      </c>
      <c r="C92" s="21">
        <f t="shared" si="20"/>
        <v>0</v>
      </c>
      <c r="D92" s="19">
        <f t="shared" si="20"/>
        <v>0</v>
      </c>
      <c r="E92" s="19">
        <f t="shared" si="20"/>
        <v>0</v>
      </c>
      <c r="F92" s="20"/>
      <c r="G92" s="21">
        <f t="shared" si="24"/>
        <v>0</v>
      </c>
      <c r="H92" s="19"/>
      <c r="I92" s="19"/>
      <c r="J92" s="24"/>
      <c r="K92" s="87"/>
      <c r="L92" s="85"/>
      <c r="M92" s="85"/>
      <c r="N92" s="84"/>
      <c r="O92" s="21"/>
      <c r="P92" s="19"/>
      <c r="Q92" s="19"/>
      <c r="R92" s="22"/>
      <c r="S92" s="18"/>
      <c r="T92" s="19"/>
      <c r="U92" s="19"/>
      <c r="V92" s="22"/>
    </row>
    <row r="93" spans="1:22" x14ac:dyDescent="0.2">
      <c r="A93" s="82">
        <v>85</v>
      </c>
      <c r="B93" s="17" t="s">
        <v>9</v>
      </c>
      <c r="C93" s="21">
        <f t="shared" si="20"/>
        <v>0</v>
      </c>
      <c r="D93" s="19">
        <f t="shared" si="20"/>
        <v>0</v>
      </c>
      <c r="E93" s="19">
        <f t="shared" si="20"/>
        <v>0</v>
      </c>
      <c r="F93" s="20"/>
      <c r="G93" s="21">
        <f t="shared" si="24"/>
        <v>0</v>
      </c>
      <c r="H93" s="19"/>
      <c r="I93" s="19"/>
      <c r="J93" s="22"/>
      <c r="K93" s="87"/>
      <c r="L93" s="85"/>
      <c r="M93" s="85"/>
      <c r="N93" s="84"/>
      <c r="O93" s="21"/>
      <c r="P93" s="19"/>
      <c r="Q93" s="19"/>
      <c r="R93" s="22"/>
      <c r="S93" s="91"/>
      <c r="T93" s="15"/>
      <c r="U93" s="15"/>
      <c r="V93" s="24"/>
    </row>
    <row r="94" spans="1:22" x14ac:dyDescent="0.2">
      <c r="A94" s="82">
        <f t="shared" si="19"/>
        <v>86</v>
      </c>
      <c r="B94" s="17" t="s">
        <v>10</v>
      </c>
      <c r="C94" s="21">
        <f t="shared" si="20"/>
        <v>0</v>
      </c>
      <c r="D94" s="19">
        <f t="shared" si="20"/>
        <v>0</v>
      </c>
      <c r="E94" s="19">
        <f t="shared" si="20"/>
        <v>0</v>
      </c>
      <c r="F94" s="20"/>
      <c r="G94" s="21">
        <f t="shared" si="24"/>
        <v>0</v>
      </c>
      <c r="H94" s="19"/>
      <c r="I94" s="19"/>
      <c r="J94" s="24"/>
      <c r="K94" s="87"/>
      <c r="L94" s="85"/>
      <c r="M94" s="85"/>
      <c r="N94" s="84"/>
      <c r="O94" s="21"/>
      <c r="P94" s="19"/>
      <c r="Q94" s="19"/>
      <c r="R94" s="22"/>
      <c r="S94" s="91"/>
      <c r="T94" s="15"/>
      <c r="U94" s="15"/>
      <c r="V94" s="24"/>
    </row>
    <row r="95" spans="1:22" x14ac:dyDescent="0.2">
      <c r="A95" s="82">
        <f t="shared" si="19"/>
        <v>87</v>
      </c>
      <c r="B95" s="17" t="s">
        <v>11</v>
      </c>
      <c r="C95" s="21">
        <f t="shared" si="20"/>
        <v>0</v>
      </c>
      <c r="D95" s="19">
        <f t="shared" si="20"/>
        <v>0</v>
      </c>
      <c r="E95" s="19">
        <f t="shared" si="20"/>
        <v>0</v>
      </c>
      <c r="F95" s="20"/>
      <c r="G95" s="21">
        <f t="shared" si="24"/>
        <v>0</v>
      </c>
      <c r="H95" s="19"/>
      <c r="I95" s="19"/>
      <c r="J95" s="24"/>
      <c r="K95" s="87"/>
      <c r="L95" s="85"/>
      <c r="M95" s="85"/>
      <c r="N95" s="84"/>
      <c r="O95" s="21"/>
      <c r="P95" s="19"/>
      <c r="Q95" s="19"/>
      <c r="R95" s="22"/>
      <c r="S95" s="91"/>
      <c r="T95" s="15"/>
      <c r="U95" s="15"/>
      <c r="V95" s="24"/>
    </row>
    <row r="96" spans="1:22" x14ac:dyDescent="0.2">
      <c r="A96" s="82">
        <f t="shared" si="19"/>
        <v>88</v>
      </c>
      <c r="B96" s="17" t="s">
        <v>12</v>
      </c>
      <c r="C96" s="21">
        <f t="shared" si="20"/>
        <v>0</v>
      </c>
      <c r="D96" s="19">
        <f t="shared" si="20"/>
        <v>0</v>
      </c>
      <c r="E96" s="19">
        <f t="shared" si="20"/>
        <v>0</v>
      </c>
      <c r="F96" s="20"/>
      <c r="G96" s="21">
        <f t="shared" si="24"/>
        <v>0</v>
      </c>
      <c r="H96" s="19"/>
      <c r="I96" s="19"/>
      <c r="J96" s="24"/>
      <c r="K96" s="87"/>
      <c r="L96" s="85"/>
      <c r="M96" s="85"/>
      <c r="N96" s="84"/>
      <c r="O96" s="21"/>
      <c r="P96" s="19"/>
      <c r="Q96" s="19"/>
      <c r="R96" s="22"/>
      <c r="S96" s="91"/>
      <c r="T96" s="15"/>
      <c r="U96" s="15"/>
      <c r="V96" s="24"/>
    </row>
    <row r="97" spans="1:22" x14ac:dyDescent="0.2">
      <c r="A97" s="82">
        <v>89</v>
      </c>
      <c r="B97" s="17" t="s">
        <v>14</v>
      </c>
      <c r="C97" s="21">
        <f>G97+K97+O97+S97</f>
        <v>0</v>
      </c>
      <c r="D97" s="19">
        <f t="shared" si="20"/>
        <v>0</v>
      </c>
      <c r="E97" s="19"/>
      <c r="F97" s="20"/>
      <c r="G97" s="21">
        <f>H97+J97</f>
        <v>0</v>
      </c>
      <c r="H97" s="19"/>
      <c r="I97" s="19"/>
      <c r="J97" s="24"/>
      <c r="K97" s="87"/>
      <c r="L97" s="85"/>
      <c r="M97" s="85"/>
      <c r="N97" s="84"/>
      <c r="O97" s="21"/>
      <c r="P97" s="19"/>
      <c r="Q97" s="19"/>
      <c r="R97" s="22"/>
      <c r="S97" s="91"/>
      <c r="T97" s="15"/>
      <c r="U97" s="15"/>
      <c r="V97" s="24"/>
    </row>
    <row r="98" spans="1:22" ht="13.5" thickBot="1" x14ac:dyDescent="0.25">
      <c r="A98" s="111">
        <f t="shared" si="19"/>
        <v>90</v>
      </c>
      <c r="B98" s="34" t="s">
        <v>26</v>
      </c>
      <c r="C98" s="38">
        <f>G98+K98+O98+S98</f>
        <v>0</v>
      </c>
      <c r="D98" s="36">
        <f t="shared" si="20"/>
        <v>0</v>
      </c>
      <c r="E98" s="36"/>
      <c r="F98" s="37"/>
      <c r="G98" s="38">
        <f>H98+J98</f>
        <v>0</v>
      </c>
      <c r="H98" s="36"/>
      <c r="I98" s="36"/>
      <c r="J98" s="43"/>
      <c r="K98" s="112"/>
      <c r="L98" s="113"/>
      <c r="M98" s="113"/>
      <c r="N98" s="114"/>
      <c r="O98" s="49"/>
      <c r="P98" s="48"/>
      <c r="Q98" s="48"/>
      <c r="R98" s="51"/>
      <c r="S98" s="115"/>
      <c r="T98" s="116"/>
      <c r="U98" s="116"/>
      <c r="V98" s="50"/>
    </row>
    <row r="99" spans="1:22" ht="45.75" thickBot="1" x14ac:dyDescent="0.3">
      <c r="A99" s="62">
        <f t="shared" si="19"/>
        <v>91</v>
      </c>
      <c r="B99" s="63" t="s">
        <v>140</v>
      </c>
      <c r="C99" s="117">
        <f>G99+K99+O99+S99</f>
        <v>65.314999999999998</v>
      </c>
      <c r="D99" s="118">
        <f t="shared" si="20"/>
        <v>65.314999999999998</v>
      </c>
      <c r="E99" s="52">
        <f t="shared" si="20"/>
        <v>37.926000000000002</v>
      </c>
      <c r="F99" s="57">
        <f t="shared" si="20"/>
        <v>0</v>
      </c>
      <c r="G99" s="52">
        <f>G100+G111+G114+G117+G118+SUM(G122:G133)+G135+G138+G139</f>
        <v>60.914999999999999</v>
      </c>
      <c r="H99" s="52">
        <f>H100+H111+H114+H117+H118+SUM(H122:H133)+H135+H138+H139</f>
        <v>60.914999999999999</v>
      </c>
      <c r="I99" s="52">
        <f>I100+I111+I114+SUM(I117:I133)+I135+I138+I139</f>
        <v>37.926000000000002</v>
      </c>
      <c r="J99" s="52"/>
      <c r="K99" s="119"/>
      <c r="L99" s="120"/>
      <c r="M99" s="120"/>
      <c r="N99" s="98"/>
      <c r="O99" s="119"/>
      <c r="P99" s="120"/>
      <c r="Q99" s="120"/>
      <c r="R99" s="98"/>
      <c r="S99" s="58">
        <f>S100+SUM(S111:S133)+S135+S138+S139</f>
        <v>4.4000000000000004</v>
      </c>
      <c r="T99" s="118">
        <f>SUM(T111:T139)</f>
        <v>4.4000000000000004</v>
      </c>
      <c r="U99" s="52">
        <f>SUM(U111:U138)</f>
        <v>0</v>
      </c>
      <c r="V99" s="57">
        <f>SUM(V111:V138)</f>
        <v>0</v>
      </c>
    </row>
    <row r="100" spans="1:22" ht="25.5" x14ac:dyDescent="0.2">
      <c r="A100" s="67">
        <f t="shared" si="19"/>
        <v>92</v>
      </c>
      <c r="B100" s="121" t="s">
        <v>141</v>
      </c>
      <c r="C100" s="79">
        <f t="shared" si="20"/>
        <v>0</v>
      </c>
      <c r="D100" s="74">
        <f t="shared" si="20"/>
        <v>0</v>
      </c>
      <c r="E100" s="74"/>
      <c r="F100" s="78"/>
      <c r="G100" s="122">
        <f>SUM(G101:G110)-G104-G105</f>
        <v>0</v>
      </c>
      <c r="H100" s="102">
        <f>SUM(H101:H110)-H104-H105</f>
        <v>0</v>
      </c>
      <c r="I100" s="102"/>
      <c r="J100" s="103"/>
      <c r="K100" s="123"/>
      <c r="L100" s="108"/>
      <c r="M100" s="108"/>
      <c r="N100" s="104"/>
      <c r="O100" s="123"/>
      <c r="P100" s="108"/>
      <c r="Q100" s="108"/>
      <c r="R100" s="104"/>
      <c r="S100" s="123"/>
      <c r="T100" s="108"/>
      <c r="U100" s="108"/>
      <c r="V100" s="104"/>
    </row>
    <row r="101" spans="1:22" x14ac:dyDescent="0.2">
      <c r="A101" s="82">
        <f t="shared" si="19"/>
        <v>93</v>
      </c>
      <c r="B101" s="32" t="s">
        <v>142</v>
      </c>
      <c r="C101" s="12">
        <f t="shared" si="20"/>
        <v>0</v>
      </c>
      <c r="D101" s="85">
        <f t="shared" si="20"/>
        <v>0</v>
      </c>
      <c r="E101" s="85"/>
      <c r="F101" s="86"/>
      <c r="G101" s="87">
        <f t="shared" si="24"/>
        <v>0</v>
      </c>
      <c r="H101" s="85"/>
      <c r="I101" s="85"/>
      <c r="J101" s="84"/>
      <c r="K101" s="87"/>
      <c r="L101" s="85"/>
      <c r="M101" s="85"/>
      <c r="N101" s="84"/>
      <c r="O101" s="87"/>
      <c r="P101" s="85"/>
      <c r="Q101" s="85"/>
      <c r="R101" s="84"/>
      <c r="S101" s="87"/>
      <c r="T101" s="85"/>
      <c r="U101" s="85"/>
      <c r="V101" s="84"/>
    </row>
    <row r="102" spans="1:22" x14ac:dyDescent="0.2">
      <c r="A102" s="82">
        <f t="shared" si="19"/>
        <v>94</v>
      </c>
      <c r="B102" s="32" t="s">
        <v>143</v>
      </c>
      <c r="C102" s="12">
        <f t="shared" si="20"/>
        <v>0</v>
      </c>
      <c r="D102" s="85">
        <f t="shared" si="20"/>
        <v>0</v>
      </c>
      <c r="E102" s="85"/>
      <c r="F102" s="86"/>
      <c r="G102" s="87">
        <f t="shared" si="24"/>
        <v>0</v>
      </c>
      <c r="H102" s="85"/>
      <c r="I102" s="85"/>
      <c r="J102" s="84"/>
      <c r="K102" s="87"/>
      <c r="L102" s="85"/>
      <c r="M102" s="85"/>
      <c r="N102" s="84"/>
      <c r="O102" s="87"/>
      <c r="P102" s="85"/>
      <c r="Q102" s="85"/>
      <c r="R102" s="84"/>
      <c r="S102" s="87"/>
      <c r="T102" s="85"/>
      <c r="U102" s="85"/>
      <c r="V102" s="84"/>
    </row>
    <row r="103" spans="1:22" x14ac:dyDescent="0.2">
      <c r="A103" s="82">
        <v>95</v>
      </c>
      <c r="B103" s="110" t="s">
        <v>144</v>
      </c>
      <c r="C103" s="12">
        <f t="shared" si="20"/>
        <v>0</v>
      </c>
      <c r="D103" s="85">
        <f t="shared" si="20"/>
        <v>0</v>
      </c>
      <c r="E103" s="85"/>
      <c r="F103" s="86"/>
      <c r="G103" s="87">
        <f t="shared" si="24"/>
        <v>0</v>
      </c>
      <c r="H103" s="85"/>
      <c r="I103" s="85"/>
      <c r="J103" s="84"/>
      <c r="K103" s="87"/>
      <c r="L103" s="85"/>
      <c r="M103" s="85"/>
      <c r="N103" s="84"/>
      <c r="O103" s="87"/>
      <c r="P103" s="85"/>
      <c r="Q103" s="85"/>
      <c r="R103" s="84"/>
      <c r="S103" s="87"/>
      <c r="T103" s="85"/>
      <c r="U103" s="85"/>
      <c r="V103" s="84"/>
    </row>
    <row r="104" spans="1:22" x14ac:dyDescent="0.2">
      <c r="A104" s="82">
        <f t="shared" si="19"/>
        <v>96</v>
      </c>
      <c r="B104" s="110" t="s">
        <v>145</v>
      </c>
      <c r="C104" s="12">
        <f t="shared" si="20"/>
        <v>0</v>
      </c>
      <c r="D104" s="85">
        <f t="shared" si="20"/>
        <v>0</v>
      </c>
      <c r="E104" s="85"/>
      <c r="F104" s="86"/>
      <c r="G104" s="87">
        <f t="shared" si="24"/>
        <v>0</v>
      </c>
      <c r="H104" s="85"/>
      <c r="I104" s="85"/>
      <c r="J104" s="84"/>
      <c r="K104" s="87"/>
      <c r="L104" s="85"/>
      <c r="M104" s="85"/>
      <c r="N104" s="84"/>
      <c r="O104" s="87"/>
      <c r="P104" s="85"/>
      <c r="Q104" s="85"/>
      <c r="R104" s="84"/>
      <c r="S104" s="87"/>
      <c r="T104" s="85"/>
      <c r="U104" s="85"/>
      <c r="V104" s="84"/>
    </row>
    <row r="105" spans="1:22" x14ac:dyDescent="0.2">
      <c r="A105" s="82">
        <v>97</v>
      </c>
      <c r="B105" s="110" t="s">
        <v>146</v>
      </c>
      <c r="C105" s="12">
        <f t="shared" si="20"/>
        <v>0</v>
      </c>
      <c r="D105" s="85">
        <f t="shared" si="20"/>
        <v>0</v>
      </c>
      <c r="E105" s="85"/>
      <c r="F105" s="86"/>
      <c r="G105" s="87">
        <f t="shared" si="24"/>
        <v>0</v>
      </c>
      <c r="H105" s="85"/>
      <c r="I105" s="85"/>
      <c r="J105" s="84"/>
      <c r="K105" s="87"/>
      <c r="L105" s="85"/>
      <c r="M105" s="85"/>
      <c r="N105" s="84"/>
      <c r="O105" s="87"/>
      <c r="P105" s="85"/>
      <c r="Q105" s="85"/>
      <c r="R105" s="84"/>
      <c r="S105" s="87"/>
      <c r="T105" s="85"/>
      <c r="U105" s="85"/>
      <c r="V105" s="84"/>
    </row>
    <row r="106" spans="1:22" x14ac:dyDescent="0.2">
      <c r="A106" s="82">
        <v>98</v>
      </c>
      <c r="B106" s="32" t="s">
        <v>147</v>
      </c>
      <c r="C106" s="12">
        <f t="shared" si="20"/>
        <v>0</v>
      </c>
      <c r="D106" s="85">
        <f t="shared" si="20"/>
        <v>0</v>
      </c>
      <c r="E106" s="85"/>
      <c r="F106" s="86"/>
      <c r="G106" s="87">
        <f t="shared" si="24"/>
        <v>0</v>
      </c>
      <c r="H106" s="85"/>
      <c r="I106" s="85"/>
      <c r="J106" s="84"/>
      <c r="K106" s="87"/>
      <c r="L106" s="85"/>
      <c r="M106" s="85"/>
      <c r="N106" s="84"/>
      <c r="O106" s="87"/>
      <c r="P106" s="85"/>
      <c r="Q106" s="85"/>
      <c r="R106" s="84"/>
      <c r="S106" s="87"/>
      <c r="T106" s="85"/>
      <c r="U106" s="85"/>
      <c r="V106" s="84"/>
    </row>
    <row r="107" spans="1:22" x14ac:dyDescent="0.2">
      <c r="A107" s="82">
        <v>99</v>
      </c>
      <c r="B107" s="32" t="s">
        <v>148</v>
      </c>
      <c r="C107" s="12">
        <f t="shared" si="20"/>
        <v>0</v>
      </c>
      <c r="D107" s="85">
        <f t="shared" si="20"/>
        <v>0</v>
      </c>
      <c r="E107" s="85"/>
      <c r="F107" s="86"/>
      <c r="G107" s="87">
        <f t="shared" si="24"/>
        <v>0</v>
      </c>
      <c r="H107" s="85"/>
      <c r="I107" s="85"/>
      <c r="J107" s="84"/>
      <c r="K107" s="87"/>
      <c r="L107" s="85"/>
      <c r="M107" s="85"/>
      <c r="N107" s="84"/>
      <c r="O107" s="87"/>
      <c r="P107" s="85"/>
      <c r="Q107" s="85"/>
      <c r="R107" s="84"/>
      <c r="S107" s="87"/>
      <c r="T107" s="85"/>
      <c r="U107" s="85"/>
      <c r="V107" s="84"/>
    </row>
    <row r="108" spans="1:22" x14ac:dyDescent="0.2">
      <c r="A108" s="82">
        <v>100</v>
      </c>
      <c r="B108" s="32" t="s">
        <v>149</v>
      </c>
      <c r="C108" s="12">
        <f t="shared" si="20"/>
        <v>0</v>
      </c>
      <c r="D108" s="85">
        <f t="shared" si="20"/>
        <v>0</v>
      </c>
      <c r="E108" s="85"/>
      <c r="F108" s="86"/>
      <c r="G108" s="87">
        <f t="shared" si="24"/>
        <v>0</v>
      </c>
      <c r="H108" s="85"/>
      <c r="I108" s="85"/>
      <c r="J108" s="84"/>
      <c r="K108" s="87"/>
      <c r="L108" s="85"/>
      <c r="M108" s="85"/>
      <c r="N108" s="84"/>
      <c r="O108" s="87"/>
      <c r="P108" s="85"/>
      <c r="Q108" s="85"/>
      <c r="R108" s="84"/>
      <c r="S108" s="87"/>
      <c r="T108" s="85"/>
      <c r="U108" s="85"/>
      <c r="V108" s="84"/>
    </row>
    <row r="109" spans="1:22" x14ac:dyDescent="0.2">
      <c r="A109" s="82">
        <v>101</v>
      </c>
      <c r="B109" s="32" t="s">
        <v>150</v>
      </c>
      <c r="C109" s="12">
        <f t="shared" si="20"/>
        <v>0</v>
      </c>
      <c r="D109" s="85">
        <f t="shared" si="20"/>
        <v>0</v>
      </c>
      <c r="E109" s="85"/>
      <c r="F109" s="86"/>
      <c r="G109" s="87">
        <f t="shared" si="24"/>
        <v>0</v>
      </c>
      <c r="H109" s="85"/>
      <c r="I109" s="85"/>
      <c r="J109" s="84"/>
      <c r="K109" s="87"/>
      <c r="L109" s="85"/>
      <c r="M109" s="85"/>
      <c r="N109" s="84"/>
      <c r="O109" s="87"/>
      <c r="P109" s="85"/>
      <c r="Q109" s="85"/>
      <c r="R109" s="84"/>
      <c r="S109" s="87"/>
      <c r="T109" s="85"/>
      <c r="U109" s="85"/>
      <c r="V109" s="84"/>
    </row>
    <row r="110" spans="1:22" x14ac:dyDescent="0.2">
      <c r="A110" s="82">
        <v>102</v>
      </c>
      <c r="B110" s="32" t="s">
        <v>151</v>
      </c>
      <c r="C110" s="12">
        <f t="shared" si="20"/>
        <v>0</v>
      </c>
      <c r="D110" s="85">
        <f t="shared" si="20"/>
        <v>0</v>
      </c>
      <c r="E110" s="85"/>
      <c r="F110" s="86"/>
      <c r="G110" s="87">
        <f t="shared" si="24"/>
        <v>0</v>
      </c>
      <c r="H110" s="85"/>
      <c r="I110" s="85"/>
      <c r="J110" s="84"/>
      <c r="K110" s="87"/>
      <c r="L110" s="85"/>
      <c r="M110" s="85"/>
      <c r="N110" s="84"/>
      <c r="O110" s="87"/>
      <c r="P110" s="85"/>
      <c r="Q110" s="85"/>
      <c r="R110" s="84"/>
      <c r="S110" s="87"/>
      <c r="T110" s="85"/>
      <c r="U110" s="85"/>
      <c r="V110" s="84"/>
    </row>
    <row r="111" spans="1:22" x14ac:dyDescent="0.2">
      <c r="A111" s="82">
        <v>103</v>
      </c>
      <c r="B111" s="17" t="s">
        <v>3</v>
      </c>
      <c r="C111" s="30">
        <f t="shared" si="20"/>
        <v>0</v>
      </c>
      <c r="D111" s="124">
        <f t="shared" si="20"/>
        <v>0</v>
      </c>
      <c r="E111" s="19">
        <f t="shared" si="20"/>
        <v>0</v>
      </c>
      <c r="F111" s="20">
        <f t="shared" si="20"/>
        <v>0</v>
      </c>
      <c r="G111" s="21">
        <f t="shared" si="24"/>
        <v>0</v>
      </c>
      <c r="H111" s="19"/>
      <c r="I111" s="19"/>
      <c r="J111" s="22"/>
      <c r="K111" s="87"/>
      <c r="L111" s="85"/>
      <c r="M111" s="85"/>
      <c r="N111" s="84"/>
      <c r="O111" s="87"/>
      <c r="P111" s="85"/>
      <c r="Q111" s="85"/>
      <c r="R111" s="84"/>
      <c r="S111" s="30">
        <f>T111+V111</f>
        <v>0</v>
      </c>
      <c r="T111" s="124"/>
      <c r="U111" s="19"/>
      <c r="V111" s="22"/>
    </row>
    <row r="112" spans="1:22" x14ac:dyDescent="0.2">
      <c r="A112" s="82">
        <v>104</v>
      </c>
      <c r="B112" s="32" t="s">
        <v>152</v>
      </c>
      <c r="C112" s="125">
        <f t="shared" si="20"/>
        <v>0</v>
      </c>
      <c r="D112" s="126">
        <f t="shared" si="20"/>
        <v>0</v>
      </c>
      <c r="E112" s="15"/>
      <c r="F112" s="23"/>
      <c r="G112" s="12">
        <f t="shared" si="24"/>
        <v>0</v>
      </c>
      <c r="H112" s="15"/>
      <c r="I112" s="19"/>
      <c r="J112" s="22"/>
      <c r="K112" s="87"/>
      <c r="L112" s="85"/>
      <c r="M112" s="85"/>
      <c r="N112" s="84"/>
      <c r="O112" s="87"/>
      <c r="P112" s="85"/>
      <c r="Q112" s="85"/>
      <c r="R112" s="84"/>
      <c r="S112" s="30"/>
      <c r="T112" s="124"/>
      <c r="U112" s="19"/>
      <c r="V112" s="22"/>
    </row>
    <row r="113" spans="1:22" x14ac:dyDescent="0.2">
      <c r="A113" s="82">
        <v>105</v>
      </c>
      <c r="B113" s="32" t="s">
        <v>153</v>
      </c>
      <c r="C113" s="125">
        <f t="shared" si="20"/>
        <v>0</v>
      </c>
      <c r="D113" s="126">
        <f t="shared" si="20"/>
        <v>0</v>
      </c>
      <c r="E113" s="15"/>
      <c r="F113" s="23"/>
      <c r="G113" s="12">
        <f t="shared" si="24"/>
        <v>0</v>
      </c>
      <c r="H113" s="15"/>
      <c r="I113" s="19"/>
      <c r="J113" s="22"/>
      <c r="K113" s="87"/>
      <c r="L113" s="85"/>
      <c r="M113" s="85"/>
      <c r="N113" s="84"/>
      <c r="O113" s="87"/>
      <c r="P113" s="85"/>
      <c r="Q113" s="85"/>
      <c r="R113" s="84"/>
      <c r="S113" s="30"/>
      <c r="T113" s="124"/>
      <c r="U113" s="19"/>
      <c r="V113" s="22"/>
    </row>
    <row r="114" spans="1:22" x14ac:dyDescent="0.2">
      <c r="A114" s="82">
        <v>106</v>
      </c>
      <c r="B114" s="17" t="s">
        <v>4</v>
      </c>
      <c r="C114" s="30">
        <f t="shared" si="20"/>
        <v>0</v>
      </c>
      <c r="D114" s="124">
        <f t="shared" si="20"/>
        <v>0</v>
      </c>
      <c r="E114" s="19">
        <f t="shared" si="20"/>
        <v>0</v>
      </c>
      <c r="F114" s="20">
        <f t="shared" si="20"/>
        <v>0</v>
      </c>
      <c r="G114" s="21">
        <f t="shared" si="24"/>
        <v>0</v>
      </c>
      <c r="H114" s="19"/>
      <c r="I114" s="19"/>
      <c r="J114" s="84"/>
      <c r="K114" s="87"/>
      <c r="L114" s="85"/>
      <c r="M114" s="85"/>
      <c r="N114" s="84"/>
      <c r="O114" s="87"/>
      <c r="P114" s="85"/>
      <c r="Q114" s="85"/>
      <c r="R114" s="84"/>
      <c r="S114" s="30">
        <f>T114+V114</f>
        <v>0</v>
      </c>
      <c r="T114" s="124"/>
      <c r="U114" s="19"/>
      <c r="V114" s="22"/>
    </row>
    <row r="115" spans="1:22" x14ac:dyDescent="0.2">
      <c r="A115" s="82">
        <v>107</v>
      </c>
      <c r="B115" s="127" t="s">
        <v>77</v>
      </c>
      <c r="C115" s="12">
        <f t="shared" si="20"/>
        <v>0</v>
      </c>
      <c r="D115" s="15">
        <f t="shared" si="20"/>
        <v>0</v>
      </c>
      <c r="E115" s="15"/>
      <c r="F115" s="23"/>
      <c r="G115" s="12">
        <f t="shared" si="24"/>
        <v>0</v>
      </c>
      <c r="H115" s="15"/>
      <c r="I115" s="19"/>
      <c r="J115" s="84"/>
      <c r="K115" s="87"/>
      <c r="L115" s="85"/>
      <c r="M115" s="85"/>
      <c r="N115" s="84"/>
      <c r="O115" s="87"/>
      <c r="P115" s="85"/>
      <c r="Q115" s="85"/>
      <c r="R115" s="84"/>
      <c r="S115" s="21"/>
      <c r="T115" s="19"/>
      <c r="U115" s="19"/>
      <c r="V115" s="22"/>
    </row>
    <row r="116" spans="1:22" x14ac:dyDescent="0.2">
      <c r="A116" s="82">
        <v>108</v>
      </c>
      <c r="B116" s="127" t="s">
        <v>78</v>
      </c>
      <c r="C116" s="12">
        <f t="shared" si="20"/>
        <v>0</v>
      </c>
      <c r="D116" s="15">
        <f t="shared" si="20"/>
        <v>0</v>
      </c>
      <c r="E116" s="15"/>
      <c r="F116" s="23"/>
      <c r="G116" s="12">
        <f t="shared" si="24"/>
        <v>0</v>
      </c>
      <c r="H116" s="15"/>
      <c r="I116" s="19"/>
      <c r="J116" s="84"/>
      <c r="K116" s="87"/>
      <c r="L116" s="85"/>
      <c r="M116" s="85"/>
      <c r="N116" s="84"/>
      <c r="O116" s="87"/>
      <c r="P116" s="85"/>
      <c r="Q116" s="85"/>
      <c r="R116" s="84"/>
      <c r="S116" s="21"/>
      <c r="T116" s="19"/>
      <c r="U116" s="19"/>
      <c r="V116" s="22"/>
    </row>
    <row r="117" spans="1:22" x14ac:dyDescent="0.2">
      <c r="A117" s="82">
        <v>109</v>
      </c>
      <c r="B117" s="17" t="s">
        <v>154</v>
      </c>
      <c r="C117" s="21">
        <f t="shared" si="20"/>
        <v>0</v>
      </c>
      <c r="D117" s="19">
        <f t="shared" si="20"/>
        <v>0</v>
      </c>
      <c r="E117" s="19">
        <f t="shared" si="20"/>
        <v>0</v>
      </c>
      <c r="F117" s="20"/>
      <c r="G117" s="21">
        <f t="shared" si="24"/>
        <v>0</v>
      </c>
      <c r="H117" s="19"/>
      <c r="I117" s="19"/>
      <c r="J117" s="22"/>
      <c r="K117" s="87"/>
      <c r="L117" s="85"/>
      <c r="M117" s="85"/>
      <c r="N117" s="84"/>
      <c r="O117" s="87"/>
      <c r="P117" s="85"/>
      <c r="Q117" s="85"/>
      <c r="R117" s="84"/>
      <c r="S117" s="21">
        <f>T117+V117</f>
        <v>0</v>
      </c>
      <c r="T117" s="19"/>
      <c r="U117" s="19"/>
      <c r="V117" s="22"/>
    </row>
    <row r="118" spans="1:22" x14ac:dyDescent="0.2">
      <c r="A118" s="82">
        <v>110</v>
      </c>
      <c r="B118" s="46" t="s">
        <v>5</v>
      </c>
      <c r="C118" s="21">
        <f t="shared" si="20"/>
        <v>0</v>
      </c>
      <c r="D118" s="19">
        <f t="shared" si="20"/>
        <v>0</v>
      </c>
      <c r="E118" s="19"/>
      <c r="F118" s="20"/>
      <c r="G118" s="21">
        <f t="shared" si="24"/>
        <v>0</v>
      </c>
      <c r="H118" s="19"/>
      <c r="I118" s="19"/>
      <c r="J118" s="22"/>
      <c r="K118" s="87"/>
      <c r="L118" s="85"/>
      <c r="M118" s="85"/>
      <c r="N118" s="84"/>
      <c r="O118" s="87"/>
      <c r="P118" s="85"/>
      <c r="Q118" s="85"/>
      <c r="R118" s="84"/>
      <c r="S118" s="21"/>
      <c r="T118" s="19"/>
      <c r="U118" s="19"/>
      <c r="V118" s="22"/>
    </row>
    <row r="119" spans="1:22" x14ac:dyDescent="0.2">
      <c r="A119" s="82">
        <v>111</v>
      </c>
      <c r="B119" s="128" t="s">
        <v>155</v>
      </c>
      <c r="C119" s="12">
        <f t="shared" si="20"/>
        <v>0</v>
      </c>
      <c r="D119" s="15">
        <f t="shared" si="20"/>
        <v>0</v>
      </c>
      <c r="E119" s="15"/>
      <c r="F119" s="23"/>
      <c r="G119" s="12">
        <f t="shared" si="24"/>
        <v>0</v>
      </c>
      <c r="H119" s="15"/>
      <c r="I119" s="19"/>
      <c r="J119" s="22"/>
      <c r="K119" s="87"/>
      <c r="L119" s="85"/>
      <c r="M119" s="85"/>
      <c r="N119" s="84"/>
      <c r="O119" s="87"/>
      <c r="P119" s="85"/>
      <c r="Q119" s="85"/>
      <c r="R119" s="84"/>
      <c r="S119" s="21"/>
      <c r="T119" s="19"/>
      <c r="U119" s="19"/>
      <c r="V119" s="22"/>
    </row>
    <row r="120" spans="1:22" x14ac:dyDescent="0.2">
      <c r="A120" s="82">
        <v>112</v>
      </c>
      <c r="B120" s="128" t="s">
        <v>80</v>
      </c>
      <c r="C120" s="12">
        <f t="shared" si="20"/>
        <v>0</v>
      </c>
      <c r="D120" s="15">
        <f t="shared" si="20"/>
        <v>0</v>
      </c>
      <c r="E120" s="15"/>
      <c r="F120" s="23"/>
      <c r="G120" s="12">
        <f t="shared" si="24"/>
        <v>0</v>
      </c>
      <c r="H120" s="15"/>
      <c r="I120" s="19"/>
      <c r="J120" s="22"/>
      <c r="K120" s="87"/>
      <c r="L120" s="85"/>
      <c r="M120" s="85"/>
      <c r="N120" s="84"/>
      <c r="O120" s="87"/>
      <c r="P120" s="85"/>
      <c r="Q120" s="85"/>
      <c r="R120" s="84"/>
      <c r="S120" s="21"/>
      <c r="T120" s="19"/>
      <c r="U120" s="19"/>
      <c r="V120" s="22"/>
    </row>
    <row r="121" spans="1:22" ht="25.5" x14ac:dyDescent="0.2">
      <c r="A121" s="82">
        <v>113</v>
      </c>
      <c r="B121" s="129" t="s">
        <v>81</v>
      </c>
      <c r="C121" s="12">
        <f t="shared" si="20"/>
        <v>0</v>
      </c>
      <c r="D121" s="15">
        <f t="shared" si="20"/>
        <v>0</v>
      </c>
      <c r="E121" s="15"/>
      <c r="F121" s="23"/>
      <c r="G121" s="12">
        <f t="shared" si="24"/>
        <v>0</v>
      </c>
      <c r="H121" s="15"/>
      <c r="I121" s="19"/>
      <c r="J121" s="22"/>
      <c r="K121" s="87"/>
      <c r="L121" s="85"/>
      <c r="M121" s="85"/>
      <c r="N121" s="84"/>
      <c r="O121" s="87"/>
      <c r="P121" s="85"/>
      <c r="Q121" s="85"/>
      <c r="R121" s="84"/>
      <c r="S121" s="21"/>
      <c r="T121" s="19"/>
      <c r="U121" s="19"/>
      <c r="V121" s="22"/>
    </row>
    <row r="122" spans="1:22" ht="25.5" x14ac:dyDescent="0.2">
      <c r="A122" s="82">
        <v>114</v>
      </c>
      <c r="B122" s="26" t="s">
        <v>31</v>
      </c>
      <c r="C122" s="21">
        <f t="shared" si="20"/>
        <v>0</v>
      </c>
      <c r="D122" s="19">
        <f t="shared" si="20"/>
        <v>0</v>
      </c>
      <c r="E122" s="19">
        <f t="shared" si="20"/>
        <v>0</v>
      </c>
      <c r="F122" s="20"/>
      <c r="G122" s="21">
        <f t="shared" si="24"/>
        <v>0</v>
      </c>
      <c r="H122" s="19"/>
      <c r="I122" s="19"/>
      <c r="J122" s="22"/>
      <c r="K122" s="87"/>
      <c r="L122" s="85"/>
      <c r="M122" s="85"/>
      <c r="N122" s="84"/>
      <c r="O122" s="87"/>
      <c r="P122" s="85"/>
      <c r="Q122" s="85"/>
      <c r="R122" s="84"/>
      <c r="S122" s="21">
        <f>T122+V122</f>
        <v>0</v>
      </c>
      <c r="T122" s="19"/>
      <c r="U122" s="19"/>
      <c r="V122" s="22"/>
    </row>
    <row r="123" spans="1:22" x14ac:dyDescent="0.2">
      <c r="A123" s="82">
        <v>115</v>
      </c>
      <c r="B123" s="17" t="s">
        <v>7</v>
      </c>
      <c r="C123" s="21">
        <f t="shared" si="20"/>
        <v>0</v>
      </c>
      <c r="D123" s="19">
        <f t="shared" si="20"/>
        <v>0</v>
      </c>
      <c r="E123" s="19">
        <f t="shared" si="20"/>
        <v>0</v>
      </c>
      <c r="F123" s="20"/>
      <c r="G123" s="21">
        <f t="shared" si="24"/>
        <v>0</v>
      </c>
      <c r="H123" s="19"/>
      <c r="I123" s="19"/>
      <c r="J123" s="24"/>
      <c r="K123" s="87"/>
      <c r="L123" s="85"/>
      <c r="M123" s="85"/>
      <c r="N123" s="84"/>
      <c r="O123" s="87"/>
      <c r="P123" s="85"/>
      <c r="Q123" s="85"/>
      <c r="R123" s="84"/>
      <c r="S123" s="21">
        <f t="shared" ref="S123:S131" si="25">T123+V123</f>
        <v>0</v>
      </c>
      <c r="T123" s="19"/>
      <c r="U123" s="15"/>
      <c r="V123" s="24"/>
    </row>
    <row r="124" spans="1:22" x14ac:dyDescent="0.2">
      <c r="A124" s="82">
        <f t="shared" si="19"/>
        <v>116</v>
      </c>
      <c r="B124" s="17" t="s">
        <v>8</v>
      </c>
      <c r="C124" s="21">
        <f t="shared" si="20"/>
        <v>0</v>
      </c>
      <c r="D124" s="19">
        <f t="shared" si="20"/>
        <v>0</v>
      </c>
      <c r="E124" s="19">
        <f t="shared" si="20"/>
        <v>0</v>
      </c>
      <c r="F124" s="20"/>
      <c r="G124" s="21">
        <f t="shared" si="24"/>
        <v>0</v>
      </c>
      <c r="H124" s="19"/>
      <c r="I124" s="19"/>
      <c r="J124" s="24"/>
      <c r="K124" s="87"/>
      <c r="L124" s="85"/>
      <c r="M124" s="85"/>
      <c r="N124" s="84"/>
      <c r="O124" s="87"/>
      <c r="P124" s="85"/>
      <c r="Q124" s="85"/>
      <c r="R124" s="84"/>
      <c r="S124" s="21">
        <f t="shared" si="25"/>
        <v>0</v>
      </c>
      <c r="T124" s="19"/>
      <c r="U124" s="15"/>
      <c r="V124" s="24"/>
    </row>
    <row r="125" spans="1:22" x14ac:dyDescent="0.2">
      <c r="A125" s="82">
        <f t="shared" si="19"/>
        <v>117</v>
      </c>
      <c r="B125" s="17" t="s">
        <v>9</v>
      </c>
      <c r="C125" s="21">
        <f t="shared" si="20"/>
        <v>0</v>
      </c>
      <c r="D125" s="19">
        <f t="shared" si="20"/>
        <v>0</v>
      </c>
      <c r="E125" s="19">
        <f t="shared" si="20"/>
        <v>0</v>
      </c>
      <c r="F125" s="20"/>
      <c r="G125" s="21">
        <f t="shared" si="24"/>
        <v>0</v>
      </c>
      <c r="H125" s="19"/>
      <c r="I125" s="19"/>
      <c r="J125" s="22"/>
      <c r="K125" s="87"/>
      <c r="L125" s="85"/>
      <c r="M125" s="85"/>
      <c r="N125" s="84"/>
      <c r="O125" s="87"/>
      <c r="P125" s="85"/>
      <c r="Q125" s="85"/>
      <c r="R125" s="84"/>
      <c r="S125" s="21">
        <f t="shared" si="25"/>
        <v>0</v>
      </c>
      <c r="T125" s="19"/>
      <c r="U125" s="15"/>
      <c r="V125" s="24"/>
    </row>
    <row r="126" spans="1:22" x14ac:dyDescent="0.2">
      <c r="A126" s="82">
        <f t="shared" si="19"/>
        <v>118</v>
      </c>
      <c r="B126" s="17" t="s">
        <v>10</v>
      </c>
      <c r="C126" s="21">
        <f t="shared" si="20"/>
        <v>0</v>
      </c>
      <c r="D126" s="19">
        <f t="shared" si="20"/>
        <v>0</v>
      </c>
      <c r="E126" s="19">
        <f t="shared" si="20"/>
        <v>0</v>
      </c>
      <c r="F126" s="20"/>
      <c r="G126" s="21">
        <f t="shared" si="24"/>
        <v>0</v>
      </c>
      <c r="H126" s="19"/>
      <c r="I126" s="19"/>
      <c r="J126" s="24"/>
      <c r="K126" s="87"/>
      <c r="L126" s="85"/>
      <c r="M126" s="85"/>
      <c r="N126" s="84"/>
      <c r="O126" s="87"/>
      <c r="P126" s="85"/>
      <c r="Q126" s="85"/>
      <c r="R126" s="84"/>
      <c r="S126" s="21"/>
      <c r="T126" s="19"/>
      <c r="U126" s="15"/>
      <c r="V126" s="24"/>
    </row>
    <row r="127" spans="1:22" x14ac:dyDescent="0.2">
      <c r="A127" s="82">
        <f t="shared" si="19"/>
        <v>119</v>
      </c>
      <c r="B127" s="17" t="s">
        <v>11</v>
      </c>
      <c r="C127" s="21">
        <f t="shared" si="20"/>
        <v>0</v>
      </c>
      <c r="D127" s="19">
        <f t="shared" si="20"/>
        <v>0</v>
      </c>
      <c r="E127" s="19">
        <f t="shared" si="20"/>
        <v>0</v>
      </c>
      <c r="F127" s="20"/>
      <c r="G127" s="21">
        <f t="shared" si="24"/>
        <v>0</v>
      </c>
      <c r="H127" s="19"/>
      <c r="I127" s="19"/>
      <c r="J127" s="24"/>
      <c r="K127" s="87"/>
      <c r="L127" s="85"/>
      <c r="M127" s="85"/>
      <c r="N127" s="84"/>
      <c r="O127" s="87"/>
      <c r="P127" s="85"/>
      <c r="Q127" s="85"/>
      <c r="R127" s="84"/>
      <c r="S127" s="21">
        <f t="shared" si="25"/>
        <v>0</v>
      </c>
      <c r="T127" s="19"/>
      <c r="U127" s="19"/>
      <c r="V127" s="24"/>
    </row>
    <row r="128" spans="1:22" x14ac:dyDescent="0.2">
      <c r="A128" s="82">
        <f t="shared" si="19"/>
        <v>120</v>
      </c>
      <c r="B128" s="17" t="s">
        <v>12</v>
      </c>
      <c r="C128" s="21">
        <f t="shared" si="20"/>
        <v>0</v>
      </c>
      <c r="D128" s="19">
        <f t="shared" si="20"/>
        <v>0</v>
      </c>
      <c r="E128" s="19">
        <f t="shared" si="20"/>
        <v>0</v>
      </c>
      <c r="F128" s="20"/>
      <c r="G128" s="21">
        <f t="shared" si="24"/>
        <v>0</v>
      </c>
      <c r="H128" s="19"/>
      <c r="I128" s="19"/>
      <c r="J128" s="24"/>
      <c r="K128" s="87"/>
      <c r="L128" s="85"/>
      <c r="M128" s="85"/>
      <c r="N128" s="84"/>
      <c r="O128" s="87"/>
      <c r="P128" s="85"/>
      <c r="Q128" s="85"/>
      <c r="R128" s="84"/>
      <c r="S128" s="21">
        <f t="shared" si="25"/>
        <v>0</v>
      </c>
      <c r="T128" s="19"/>
      <c r="U128" s="15"/>
      <c r="V128" s="24"/>
    </row>
    <row r="129" spans="1:22" x14ac:dyDescent="0.2">
      <c r="A129" s="82">
        <f t="shared" si="19"/>
        <v>121</v>
      </c>
      <c r="B129" s="17" t="s">
        <v>13</v>
      </c>
      <c r="C129" s="21">
        <f t="shared" si="20"/>
        <v>0</v>
      </c>
      <c r="D129" s="19">
        <f t="shared" si="20"/>
        <v>0</v>
      </c>
      <c r="E129" s="19">
        <f t="shared" si="20"/>
        <v>0</v>
      </c>
      <c r="F129" s="20"/>
      <c r="G129" s="21">
        <f t="shared" si="24"/>
        <v>0</v>
      </c>
      <c r="H129" s="19"/>
      <c r="I129" s="19"/>
      <c r="J129" s="24"/>
      <c r="K129" s="87"/>
      <c r="L129" s="85"/>
      <c r="M129" s="85"/>
      <c r="N129" s="84"/>
      <c r="O129" s="87"/>
      <c r="P129" s="85"/>
      <c r="Q129" s="85"/>
      <c r="R129" s="84"/>
      <c r="S129" s="21"/>
      <c r="T129" s="19"/>
      <c r="U129" s="15"/>
      <c r="V129" s="24"/>
    </row>
    <row r="130" spans="1:22" x14ac:dyDescent="0.2">
      <c r="A130" s="82">
        <f t="shared" si="19"/>
        <v>122</v>
      </c>
      <c r="B130" s="17" t="s">
        <v>14</v>
      </c>
      <c r="C130" s="21">
        <f t="shared" si="20"/>
        <v>0</v>
      </c>
      <c r="D130" s="19">
        <f t="shared" si="20"/>
        <v>0</v>
      </c>
      <c r="E130" s="19"/>
      <c r="F130" s="20"/>
      <c r="G130" s="21">
        <f t="shared" si="24"/>
        <v>0</v>
      </c>
      <c r="H130" s="19"/>
      <c r="I130" s="19"/>
      <c r="J130" s="24"/>
      <c r="K130" s="87"/>
      <c r="L130" s="85"/>
      <c r="M130" s="85"/>
      <c r="N130" s="84"/>
      <c r="O130" s="87"/>
      <c r="P130" s="85"/>
      <c r="Q130" s="85"/>
      <c r="R130" s="84"/>
      <c r="S130" s="21"/>
      <c r="T130" s="19"/>
      <c r="U130" s="15"/>
      <c r="V130" s="24"/>
    </row>
    <row r="131" spans="1:22" x14ac:dyDescent="0.2">
      <c r="A131" s="82">
        <f t="shared" si="19"/>
        <v>123</v>
      </c>
      <c r="B131" s="17" t="s">
        <v>26</v>
      </c>
      <c r="C131" s="21">
        <f t="shared" si="20"/>
        <v>0</v>
      </c>
      <c r="D131" s="19">
        <f t="shared" si="20"/>
        <v>0</v>
      </c>
      <c r="E131" s="19">
        <f t="shared" si="20"/>
        <v>0</v>
      </c>
      <c r="F131" s="20"/>
      <c r="G131" s="21">
        <f t="shared" si="24"/>
        <v>0</v>
      </c>
      <c r="H131" s="19"/>
      <c r="I131" s="19"/>
      <c r="J131" s="24"/>
      <c r="K131" s="87"/>
      <c r="L131" s="85"/>
      <c r="M131" s="85"/>
      <c r="N131" s="84"/>
      <c r="O131" s="87"/>
      <c r="P131" s="85"/>
      <c r="Q131" s="85"/>
      <c r="R131" s="84"/>
      <c r="S131" s="21">
        <f t="shared" si="25"/>
        <v>0</v>
      </c>
      <c r="T131" s="19"/>
      <c r="U131" s="15"/>
      <c r="V131" s="24"/>
    </row>
    <row r="132" spans="1:22" x14ac:dyDescent="0.2">
      <c r="A132" s="82">
        <f t="shared" si="19"/>
        <v>124</v>
      </c>
      <c r="B132" s="17" t="s">
        <v>15</v>
      </c>
      <c r="C132" s="21">
        <f t="shared" si="20"/>
        <v>0</v>
      </c>
      <c r="D132" s="19">
        <f t="shared" si="20"/>
        <v>0</v>
      </c>
      <c r="E132" s="19"/>
      <c r="F132" s="20"/>
      <c r="G132" s="27">
        <f t="shared" si="24"/>
        <v>0</v>
      </c>
      <c r="H132" s="19"/>
      <c r="I132" s="19"/>
      <c r="J132" s="24"/>
      <c r="K132" s="87"/>
      <c r="L132" s="85"/>
      <c r="M132" s="85"/>
      <c r="N132" s="84"/>
      <c r="O132" s="87"/>
      <c r="P132" s="85"/>
      <c r="Q132" s="85"/>
      <c r="R132" s="84"/>
      <c r="S132" s="21"/>
      <c r="T132" s="15"/>
      <c r="U132" s="15"/>
      <c r="V132" s="24"/>
    </row>
    <row r="133" spans="1:22" x14ac:dyDescent="0.2">
      <c r="A133" s="82">
        <f t="shared" si="19"/>
        <v>125</v>
      </c>
      <c r="B133" s="17" t="s">
        <v>156</v>
      </c>
      <c r="C133" s="21">
        <f t="shared" si="20"/>
        <v>0</v>
      </c>
      <c r="D133" s="19">
        <f t="shared" si="20"/>
        <v>0</v>
      </c>
      <c r="E133" s="19"/>
      <c r="F133" s="20"/>
      <c r="G133" s="27">
        <f>G134</f>
        <v>0</v>
      </c>
      <c r="H133" s="19"/>
      <c r="I133" s="19"/>
      <c r="J133" s="89"/>
      <c r="K133" s="94"/>
      <c r="L133" s="85"/>
      <c r="M133" s="85"/>
      <c r="N133" s="89"/>
      <c r="O133" s="94"/>
      <c r="P133" s="85"/>
      <c r="Q133" s="85"/>
      <c r="R133" s="89"/>
      <c r="S133" s="94"/>
      <c r="T133" s="85"/>
      <c r="U133" s="85"/>
      <c r="V133" s="89"/>
    </row>
    <row r="134" spans="1:22" x14ac:dyDescent="0.2">
      <c r="A134" s="82">
        <f t="shared" si="19"/>
        <v>126</v>
      </c>
      <c r="B134" s="17" t="s">
        <v>157</v>
      </c>
      <c r="C134" s="12">
        <f t="shared" si="20"/>
        <v>0</v>
      </c>
      <c r="D134" s="15">
        <f t="shared" si="20"/>
        <v>0</v>
      </c>
      <c r="E134" s="19"/>
      <c r="F134" s="20"/>
      <c r="G134" s="94">
        <f t="shared" si="24"/>
        <v>0</v>
      </c>
      <c r="H134" s="15"/>
      <c r="I134" s="19"/>
      <c r="J134" s="89"/>
      <c r="K134" s="94"/>
      <c r="L134" s="85"/>
      <c r="M134" s="85"/>
      <c r="N134" s="89"/>
      <c r="O134" s="94"/>
      <c r="P134" s="85"/>
      <c r="Q134" s="85"/>
      <c r="R134" s="89"/>
      <c r="S134" s="27"/>
      <c r="T134" s="19"/>
      <c r="U134" s="19"/>
      <c r="V134" s="28"/>
    </row>
    <row r="135" spans="1:22" x14ac:dyDescent="0.2">
      <c r="A135" s="82">
        <f t="shared" si="19"/>
        <v>127</v>
      </c>
      <c r="B135" s="17" t="s">
        <v>121</v>
      </c>
      <c r="C135" s="21">
        <f t="shared" si="20"/>
        <v>0</v>
      </c>
      <c r="D135" s="19">
        <f t="shared" si="20"/>
        <v>0</v>
      </c>
      <c r="E135" s="19"/>
      <c r="F135" s="20"/>
      <c r="G135" s="27">
        <f>G136+G137</f>
        <v>0</v>
      </c>
      <c r="H135" s="19"/>
      <c r="I135" s="85"/>
      <c r="J135" s="89"/>
      <c r="K135" s="94"/>
      <c r="L135" s="85"/>
      <c r="M135" s="85"/>
      <c r="N135" s="89"/>
      <c r="O135" s="94"/>
      <c r="P135" s="85"/>
      <c r="Q135" s="85"/>
      <c r="R135" s="89"/>
      <c r="S135" s="94"/>
      <c r="T135" s="85"/>
      <c r="U135" s="85"/>
      <c r="V135" s="89"/>
    </row>
    <row r="136" spans="1:22" x14ac:dyDescent="0.2">
      <c r="A136" s="82">
        <f t="shared" si="19"/>
        <v>128</v>
      </c>
      <c r="B136" s="32" t="s">
        <v>158</v>
      </c>
      <c r="C136" s="12">
        <f t="shared" si="20"/>
        <v>0</v>
      </c>
      <c r="D136" s="15">
        <f t="shared" si="20"/>
        <v>0</v>
      </c>
      <c r="E136" s="19"/>
      <c r="F136" s="20"/>
      <c r="G136" s="87">
        <f t="shared" si="24"/>
        <v>0</v>
      </c>
      <c r="H136" s="15"/>
      <c r="I136" s="19"/>
      <c r="J136" s="84"/>
      <c r="K136" s="87"/>
      <c r="L136" s="85"/>
      <c r="M136" s="85"/>
      <c r="N136" s="84"/>
      <c r="O136" s="87"/>
      <c r="P136" s="85"/>
      <c r="Q136" s="85"/>
      <c r="R136" s="84"/>
      <c r="S136" s="21"/>
      <c r="T136" s="19"/>
      <c r="U136" s="19"/>
      <c r="V136" s="22"/>
    </row>
    <row r="137" spans="1:22" x14ac:dyDescent="0.2">
      <c r="A137" s="82">
        <f t="shared" si="19"/>
        <v>129</v>
      </c>
      <c r="B137" s="130" t="s">
        <v>159</v>
      </c>
      <c r="C137" s="12">
        <f t="shared" si="20"/>
        <v>0</v>
      </c>
      <c r="D137" s="15">
        <f t="shared" si="20"/>
        <v>0</v>
      </c>
      <c r="E137" s="19"/>
      <c r="F137" s="20"/>
      <c r="G137" s="87">
        <f t="shared" si="24"/>
        <v>0</v>
      </c>
      <c r="H137" s="15"/>
      <c r="I137" s="19"/>
      <c r="J137" s="84"/>
      <c r="K137" s="87"/>
      <c r="L137" s="85"/>
      <c r="M137" s="85"/>
      <c r="N137" s="84"/>
      <c r="O137" s="87"/>
      <c r="P137" s="85"/>
      <c r="Q137" s="85"/>
      <c r="R137" s="84"/>
      <c r="S137" s="21"/>
      <c r="T137" s="19"/>
      <c r="U137" s="19"/>
      <c r="V137" s="22"/>
    </row>
    <row r="138" spans="1:22" x14ac:dyDescent="0.2">
      <c r="A138" s="82">
        <v>130</v>
      </c>
      <c r="B138" s="17" t="s">
        <v>94</v>
      </c>
      <c r="C138" s="21">
        <f>G138+K138+O138+S138</f>
        <v>37.466999999999999</v>
      </c>
      <c r="D138" s="19">
        <f>H138+L138+P138+T138</f>
        <v>37.466999999999999</v>
      </c>
      <c r="E138" s="19">
        <f t="shared" si="20"/>
        <v>18.872</v>
      </c>
      <c r="F138" s="20"/>
      <c r="G138" s="21">
        <f>+H138</f>
        <v>33.466999999999999</v>
      </c>
      <c r="H138" s="19">
        <v>33.466999999999999</v>
      </c>
      <c r="I138" s="19">
        <v>18.872</v>
      </c>
      <c r="J138" s="84"/>
      <c r="K138" s="87"/>
      <c r="L138" s="85"/>
      <c r="M138" s="85"/>
      <c r="N138" s="84"/>
      <c r="O138" s="87"/>
      <c r="P138" s="85"/>
      <c r="Q138" s="85"/>
      <c r="R138" s="84"/>
      <c r="S138" s="21">
        <f>T138+V138</f>
        <v>4</v>
      </c>
      <c r="T138" s="19">
        <v>4</v>
      </c>
      <c r="U138" s="19"/>
      <c r="V138" s="22"/>
    </row>
    <row r="139" spans="1:22" ht="13.5" thickBot="1" x14ac:dyDescent="0.25">
      <c r="A139" s="111">
        <v>131</v>
      </c>
      <c r="B139" s="34" t="s">
        <v>138</v>
      </c>
      <c r="C139" s="38">
        <f>G139+K139+O139+S139</f>
        <v>27.847999999999999</v>
      </c>
      <c r="D139" s="36">
        <f>H139+L139+P139+T139</f>
        <v>27.847999999999999</v>
      </c>
      <c r="E139" s="36">
        <f>I139+M139+Q139+U139</f>
        <v>19.053999999999998</v>
      </c>
      <c r="F139" s="37"/>
      <c r="G139" s="49">
        <f>+H139</f>
        <v>27.448</v>
      </c>
      <c r="H139" s="48">
        <v>27.448</v>
      </c>
      <c r="I139" s="48">
        <v>19.053999999999998</v>
      </c>
      <c r="J139" s="114"/>
      <c r="K139" s="131"/>
      <c r="L139" s="132"/>
      <c r="M139" s="132"/>
      <c r="N139" s="133"/>
      <c r="O139" s="131"/>
      <c r="P139" s="132"/>
      <c r="Q139" s="132"/>
      <c r="R139" s="133"/>
      <c r="S139" s="21">
        <f>T139+V139</f>
        <v>0.4</v>
      </c>
      <c r="T139" s="36">
        <v>0.4</v>
      </c>
      <c r="U139" s="36"/>
      <c r="V139" s="39"/>
    </row>
    <row r="140" spans="1:22" ht="45.75" thickBot="1" x14ac:dyDescent="0.25">
      <c r="A140" s="62">
        <v>132</v>
      </c>
      <c r="B140" s="134" t="s">
        <v>160</v>
      </c>
      <c r="C140" s="64">
        <f t="shared" si="20"/>
        <v>0</v>
      </c>
      <c r="D140" s="52">
        <f t="shared" si="20"/>
        <v>0</v>
      </c>
      <c r="E140" s="52">
        <f t="shared" si="20"/>
        <v>0</v>
      </c>
      <c r="F140" s="55">
        <f t="shared" si="20"/>
        <v>0</v>
      </c>
      <c r="G140" s="64">
        <f>G141+SUM(G157:G168)+G170+G173</f>
        <v>0</v>
      </c>
      <c r="H140" s="54">
        <f>H141+SUM(H157:H168)+H170+H173</f>
        <v>0</v>
      </c>
      <c r="I140" s="52">
        <f>I141+SUM(I157:I168)+I170+I173</f>
        <v>0</v>
      </c>
      <c r="J140" s="57">
        <f>J141+SUM(J157:J168)+J170+J173</f>
        <v>0</v>
      </c>
      <c r="K140" s="65">
        <f>K141+SUM(K158:K168)+K173</f>
        <v>0</v>
      </c>
      <c r="L140" s="52">
        <f>L141+SUM(L158:L168)+L173</f>
        <v>0</v>
      </c>
      <c r="M140" s="52">
        <f>M141+SUM(M157:M168)+M170+M173</f>
        <v>0</v>
      </c>
      <c r="N140" s="57"/>
      <c r="O140" s="64"/>
      <c r="P140" s="52"/>
      <c r="Q140" s="52"/>
      <c r="R140" s="57"/>
      <c r="S140" s="64">
        <f>S141+SUM(S157:S168)+S170+S173</f>
        <v>0</v>
      </c>
      <c r="T140" s="52">
        <f>T157+T173</f>
        <v>0</v>
      </c>
      <c r="U140" s="52">
        <f>U157+U173</f>
        <v>0</v>
      </c>
      <c r="V140" s="57"/>
    </row>
    <row r="141" spans="1:22" x14ac:dyDescent="0.2">
      <c r="A141" s="67">
        <f t="shared" si="19"/>
        <v>133</v>
      </c>
      <c r="B141" s="81" t="s">
        <v>106</v>
      </c>
      <c r="C141" s="76">
        <f t="shared" si="20"/>
        <v>0</v>
      </c>
      <c r="D141" s="74">
        <f t="shared" si="20"/>
        <v>0</v>
      </c>
      <c r="E141" s="74"/>
      <c r="F141" s="77">
        <f t="shared" si="20"/>
        <v>0</v>
      </c>
      <c r="G141" s="74">
        <f>SUM(G142:G156)</f>
        <v>0</v>
      </c>
      <c r="H141" s="74">
        <f>SUM(H142:H156)</f>
        <v>0</v>
      </c>
      <c r="I141" s="74"/>
      <c r="J141" s="78">
        <f>SUM(J142:J156)</f>
        <v>0</v>
      </c>
      <c r="K141" s="79">
        <f>SUM(K142:K153)+K154</f>
        <v>0</v>
      </c>
      <c r="L141" s="74">
        <f>SUM(L142:L153)</f>
        <v>0</v>
      </c>
      <c r="M141" s="74">
        <f>SUM(M142:M153)</f>
        <v>0</v>
      </c>
      <c r="N141" s="104"/>
      <c r="O141" s="123"/>
      <c r="P141" s="108"/>
      <c r="Q141" s="108"/>
      <c r="R141" s="104"/>
      <c r="S141" s="123"/>
      <c r="T141" s="108"/>
      <c r="U141" s="108"/>
      <c r="V141" s="104"/>
    </row>
    <row r="142" spans="1:22" x14ac:dyDescent="0.2">
      <c r="A142" s="82">
        <f t="shared" si="19"/>
        <v>134</v>
      </c>
      <c r="B142" s="32" t="s">
        <v>161</v>
      </c>
      <c r="C142" s="12">
        <f t="shared" si="20"/>
        <v>0</v>
      </c>
      <c r="D142" s="85">
        <f t="shared" si="20"/>
        <v>0</v>
      </c>
      <c r="E142" s="19"/>
      <c r="F142" s="22"/>
      <c r="G142" s="91">
        <f t="shared" si="24"/>
        <v>0</v>
      </c>
      <c r="H142" s="85"/>
      <c r="I142" s="85"/>
      <c r="J142" s="86"/>
      <c r="K142" s="87"/>
      <c r="L142" s="85"/>
      <c r="M142" s="85"/>
      <c r="N142" s="84"/>
      <c r="O142" s="87"/>
      <c r="P142" s="85"/>
      <c r="Q142" s="85"/>
      <c r="R142" s="84"/>
      <c r="S142" s="87"/>
      <c r="T142" s="85"/>
      <c r="U142" s="85"/>
      <c r="V142" s="84"/>
    </row>
    <row r="143" spans="1:22" x14ac:dyDescent="0.2">
      <c r="A143" s="82">
        <f>+A142+1</f>
        <v>135</v>
      </c>
      <c r="B143" s="32" t="s">
        <v>162</v>
      </c>
      <c r="C143" s="12">
        <f t="shared" si="20"/>
        <v>0</v>
      </c>
      <c r="D143" s="85">
        <f t="shared" si="20"/>
        <v>0</v>
      </c>
      <c r="E143" s="19"/>
      <c r="F143" s="22"/>
      <c r="G143" s="91">
        <f t="shared" si="24"/>
        <v>0</v>
      </c>
      <c r="H143" s="85"/>
      <c r="I143" s="85"/>
      <c r="J143" s="86"/>
      <c r="K143" s="87"/>
      <c r="L143" s="85"/>
      <c r="M143" s="85"/>
      <c r="N143" s="84"/>
      <c r="O143" s="87"/>
      <c r="P143" s="85"/>
      <c r="Q143" s="85"/>
      <c r="R143" s="84"/>
      <c r="S143" s="87"/>
      <c r="T143" s="85"/>
      <c r="U143" s="85"/>
      <c r="V143" s="84"/>
    </row>
    <row r="144" spans="1:22" x14ac:dyDescent="0.2">
      <c r="A144" s="82">
        <f>+A143+1</f>
        <v>136</v>
      </c>
      <c r="B144" s="32" t="s">
        <v>163</v>
      </c>
      <c r="C144" s="12">
        <f t="shared" si="20"/>
        <v>0</v>
      </c>
      <c r="D144" s="85">
        <f t="shared" si="20"/>
        <v>0</v>
      </c>
      <c r="E144" s="19"/>
      <c r="F144" s="22"/>
      <c r="G144" s="91">
        <f t="shared" si="24"/>
        <v>0</v>
      </c>
      <c r="H144" s="85"/>
      <c r="I144" s="85"/>
      <c r="J144" s="86"/>
      <c r="K144" s="87"/>
      <c r="L144" s="85"/>
      <c r="M144" s="85"/>
      <c r="N144" s="84"/>
      <c r="O144" s="87"/>
      <c r="P144" s="85"/>
      <c r="Q144" s="85"/>
      <c r="R144" s="84"/>
      <c r="S144" s="87"/>
      <c r="T144" s="85"/>
      <c r="U144" s="85"/>
      <c r="V144" s="84"/>
    </row>
    <row r="145" spans="1:22" x14ac:dyDescent="0.2">
      <c r="A145" s="82">
        <v>137</v>
      </c>
      <c r="B145" s="32" t="s">
        <v>164</v>
      </c>
      <c r="C145" s="12">
        <f t="shared" si="20"/>
        <v>0</v>
      </c>
      <c r="D145" s="85">
        <f t="shared" si="20"/>
        <v>0</v>
      </c>
      <c r="E145" s="19"/>
      <c r="F145" s="22"/>
      <c r="G145" s="91">
        <f t="shared" si="24"/>
        <v>0</v>
      </c>
      <c r="H145" s="83"/>
      <c r="I145" s="85"/>
      <c r="J145" s="86"/>
      <c r="K145" s="87"/>
      <c r="L145" s="85"/>
      <c r="M145" s="85"/>
      <c r="N145" s="84"/>
      <c r="O145" s="87"/>
      <c r="P145" s="85"/>
      <c r="Q145" s="85"/>
      <c r="R145" s="84"/>
      <c r="S145" s="87"/>
      <c r="T145" s="85"/>
      <c r="U145" s="85"/>
      <c r="V145" s="84"/>
    </row>
    <row r="146" spans="1:22" x14ac:dyDescent="0.2">
      <c r="A146" s="82">
        <v>138</v>
      </c>
      <c r="B146" s="110" t="s">
        <v>165</v>
      </c>
      <c r="C146" s="12">
        <f t="shared" si="20"/>
        <v>0</v>
      </c>
      <c r="D146" s="85">
        <f t="shared" si="20"/>
        <v>0</v>
      </c>
      <c r="E146" s="19"/>
      <c r="F146" s="22"/>
      <c r="G146" s="91">
        <f t="shared" si="24"/>
        <v>0</v>
      </c>
      <c r="H146" s="85"/>
      <c r="I146" s="85"/>
      <c r="J146" s="86"/>
      <c r="K146" s="87"/>
      <c r="L146" s="85"/>
      <c r="M146" s="85"/>
      <c r="N146" s="84"/>
      <c r="O146" s="87"/>
      <c r="P146" s="85"/>
      <c r="Q146" s="85"/>
      <c r="R146" s="84"/>
      <c r="S146" s="87"/>
      <c r="T146" s="85"/>
      <c r="U146" s="85"/>
      <c r="V146" s="84"/>
    </row>
    <row r="147" spans="1:22" x14ac:dyDescent="0.2">
      <c r="A147" s="82">
        <f>+A146+1</f>
        <v>139</v>
      </c>
      <c r="B147" s="32" t="s">
        <v>166</v>
      </c>
      <c r="C147" s="12">
        <f t="shared" si="20"/>
        <v>0</v>
      </c>
      <c r="D147" s="85">
        <f t="shared" si="20"/>
        <v>0</v>
      </c>
      <c r="E147" s="19"/>
      <c r="F147" s="22"/>
      <c r="G147" s="91"/>
      <c r="H147" s="85"/>
      <c r="I147" s="85"/>
      <c r="J147" s="86"/>
      <c r="K147" s="87">
        <f>L147+N147</f>
        <v>0</v>
      </c>
      <c r="L147" s="85"/>
      <c r="M147" s="85"/>
      <c r="N147" s="84"/>
      <c r="O147" s="87"/>
      <c r="P147" s="85"/>
      <c r="Q147" s="85"/>
      <c r="R147" s="84"/>
      <c r="S147" s="87"/>
      <c r="T147" s="85"/>
      <c r="U147" s="85"/>
      <c r="V147" s="84"/>
    </row>
    <row r="148" spans="1:22" x14ac:dyDescent="0.2">
      <c r="A148" s="82">
        <f>+A147+1</f>
        <v>140</v>
      </c>
      <c r="B148" s="32" t="s">
        <v>167</v>
      </c>
      <c r="C148" s="12">
        <f t="shared" si="20"/>
        <v>0</v>
      </c>
      <c r="D148" s="85">
        <f t="shared" si="20"/>
        <v>0</v>
      </c>
      <c r="E148" s="19"/>
      <c r="F148" s="22"/>
      <c r="G148" s="91"/>
      <c r="H148" s="85"/>
      <c r="I148" s="85"/>
      <c r="J148" s="86"/>
      <c r="K148" s="87">
        <f>L148+N148</f>
        <v>0</v>
      </c>
      <c r="L148" s="85"/>
      <c r="M148" s="85"/>
      <c r="N148" s="84"/>
      <c r="O148" s="87"/>
      <c r="P148" s="85"/>
      <c r="Q148" s="85"/>
      <c r="R148" s="84"/>
      <c r="S148" s="87"/>
      <c r="T148" s="85"/>
      <c r="U148" s="85"/>
      <c r="V148" s="84"/>
    </row>
    <row r="149" spans="1:22" x14ac:dyDescent="0.2">
      <c r="A149" s="82">
        <v>141</v>
      </c>
      <c r="B149" s="32" t="s">
        <v>168</v>
      </c>
      <c r="C149" s="12"/>
      <c r="D149" s="85"/>
      <c r="E149" s="19"/>
      <c r="F149" s="22"/>
      <c r="G149" s="91"/>
      <c r="H149" s="85"/>
      <c r="I149" s="85"/>
      <c r="J149" s="86"/>
      <c r="K149" s="87">
        <f>L149+N149</f>
        <v>0</v>
      </c>
      <c r="L149" s="85"/>
      <c r="M149" s="85"/>
      <c r="N149" s="84"/>
      <c r="O149" s="87"/>
      <c r="P149" s="85"/>
      <c r="Q149" s="85"/>
      <c r="R149" s="84"/>
      <c r="S149" s="87"/>
      <c r="T149" s="85"/>
      <c r="U149" s="85"/>
      <c r="V149" s="84"/>
    </row>
    <row r="150" spans="1:22" x14ac:dyDescent="0.2">
      <c r="A150" s="82">
        <v>142</v>
      </c>
      <c r="B150" s="32" t="s">
        <v>169</v>
      </c>
      <c r="C150" s="12">
        <f t="shared" si="20"/>
        <v>0</v>
      </c>
      <c r="D150" s="85">
        <f t="shared" si="20"/>
        <v>0</v>
      </c>
      <c r="E150" s="19"/>
      <c r="F150" s="22"/>
      <c r="G150" s="91">
        <f t="shared" si="24"/>
        <v>0</v>
      </c>
      <c r="H150" s="85"/>
      <c r="I150" s="85"/>
      <c r="J150" s="86"/>
      <c r="K150" s="87"/>
      <c r="L150" s="85"/>
      <c r="M150" s="85"/>
      <c r="N150" s="84"/>
      <c r="O150" s="87"/>
      <c r="P150" s="85"/>
      <c r="Q150" s="85"/>
      <c r="R150" s="84"/>
      <c r="S150" s="87"/>
      <c r="T150" s="85"/>
      <c r="U150" s="85"/>
      <c r="V150" s="84"/>
    </row>
    <row r="151" spans="1:22" ht="38.25" x14ac:dyDescent="0.2">
      <c r="A151" s="135">
        <v>143</v>
      </c>
      <c r="B151" s="136" t="s">
        <v>170</v>
      </c>
      <c r="C151" s="137">
        <f t="shared" si="20"/>
        <v>0</v>
      </c>
      <c r="D151" s="138">
        <f>H151+L151+P151+T151</f>
        <v>0</v>
      </c>
      <c r="E151" s="139"/>
      <c r="F151" s="140"/>
      <c r="G151" s="141">
        <f t="shared" si="24"/>
        <v>0</v>
      </c>
      <c r="H151" s="142"/>
      <c r="I151" s="143"/>
      <c r="J151" s="144"/>
      <c r="K151" s="87"/>
      <c r="L151" s="143"/>
      <c r="M151" s="143"/>
      <c r="N151" s="145"/>
      <c r="O151" s="146"/>
      <c r="P151" s="143"/>
      <c r="Q151" s="143"/>
      <c r="R151" s="145"/>
      <c r="S151" s="33"/>
      <c r="T151" s="143"/>
      <c r="U151" s="143"/>
      <c r="V151" s="145"/>
    </row>
    <row r="152" spans="1:22" x14ac:dyDescent="0.2">
      <c r="A152" s="135">
        <v>144</v>
      </c>
      <c r="B152" s="136" t="s">
        <v>171</v>
      </c>
      <c r="C152" s="137">
        <f t="shared" si="20"/>
        <v>0</v>
      </c>
      <c r="D152" s="138">
        <f>H152+L152+P152+T152</f>
        <v>0</v>
      </c>
      <c r="E152" s="138">
        <f>I152+M152+Q152+U152</f>
        <v>0</v>
      </c>
      <c r="F152" s="140"/>
      <c r="G152" s="141"/>
      <c r="H152" s="142"/>
      <c r="I152" s="143"/>
      <c r="J152" s="144"/>
      <c r="K152" s="87">
        <f>L152+N152</f>
        <v>0</v>
      </c>
      <c r="L152" s="143"/>
      <c r="M152" s="143"/>
      <c r="N152" s="145"/>
      <c r="O152" s="146"/>
      <c r="P152" s="143"/>
      <c r="Q152" s="143"/>
      <c r="R152" s="145"/>
      <c r="S152" s="33"/>
      <c r="T152" s="143"/>
      <c r="U152" s="143"/>
      <c r="V152" s="145"/>
    </row>
    <row r="153" spans="1:22" ht="25.5" x14ac:dyDescent="0.2">
      <c r="A153" s="82">
        <v>145</v>
      </c>
      <c r="B153" s="95" t="s">
        <v>172</v>
      </c>
      <c r="C153" s="12">
        <f t="shared" si="20"/>
        <v>0</v>
      </c>
      <c r="D153" s="138"/>
      <c r="E153" s="19"/>
      <c r="F153" s="24">
        <f t="shared" si="20"/>
        <v>0</v>
      </c>
      <c r="G153" s="141">
        <f t="shared" si="24"/>
        <v>0</v>
      </c>
      <c r="H153" s="85"/>
      <c r="I153" s="85"/>
      <c r="J153" s="86"/>
      <c r="K153" s="87"/>
      <c r="L153" s="85"/>
      <c r="M153" s="85"/>
      <c r="N153" s="84"/>
      <c r="O153" s="87"/>
      <c r="P153" s="85"/>
      <c r="Q153" s="85"/>
      <c r="R153" s="84"/>
      <c r="S153" s="87"/>
      <c r="T153" s="85"/>
      <c r="U153" s="85"/>
      <c r="V153" s="84"/>
    </row>
    <row r="154" spans="1:22" ht="25.5" x14ac:dyDescent="0.2">
      <c r="A154" s="82">
        <v>146</v>
      </c>
      <c r="B154" s="147" t="s">
        <v>59</v>
      </c>
      <c r="C154" s="12">
        <f t="shared" si="20"/>
        <v>0</v>
      </c>
      <c r="D154" s="138"/>
      <c r="E154" s="19"/>
      <c r="F154" s="24">
        <f t="shared" si="20"/>
        <v>0</v>
      </c>
      <c r="G154" s="141">
        <f t="shared" si="24"/>
        <v>0</v>
      </c>
      <c r="H154" s="85"/>
      <c r="I154" s="85"/>
      <c r="J154" s="86"/>
      <c r="K154" s="87"/>
      <c r="L154" s="85"/>
      <c r="M154" s="85"/>
      <c r="N154" s="84"/>
      <c r="O154" s="87"/>
      <c r="P154" s="85"/>
      <c r="Q154" s="85"/>
      <c r="R154" s="84"/>
      <c r="S154" s="87"/>
      <c r="T154" s="85"/>
      <c r="U154" s="85"/>
      <c r="V154" s="84"/>
    </row>
    <row r="155" spans="1:22" x14ac:dyDescent="0.2">
      <c r="A155" s="82">
        <v>147</v>
      </c>
      <c r="B155" s="147" t="s">
        <v>173</v>
      </c>
      <c r="C155" s="12">
        <f t="shared" si="20"/>
        <v>0</v>
      </c>
      <c r="D155" s="138">
        <f>H155+L155+P155+T155</f>
        <v>0</v>
      </c>
      <c r="E155" s="19"/>
      <c r="F155" s="24"/>
      <c r="G155" s="141">
        <f t="shared" si="24"/>
        <v>0</v>
      </c>
      <c r="H155" s="85"/>
      <c r="I155" s="85"/>
      <c r="J155" s="86"/>
      <c r="K155" s="87"/>
      <c r="L155" s="85"/>
      <c r="M155" s="85"/>
      <c r="N155" s="84"/>
      <c r="O155" s="87"/>
      <c r="P155" s="85"/>
      <c r="Q155" s="85"/>
      <c r="R155" s="84"/>
      <c r="S155" s="87"/>
      <c r="T155" s="85"/>
      <c r="U155" s="85"/>
      <c r="V155" s="84"/>
    </row>
    <row r="156" spans="1:22" x14ac:dyDescent="0.2">
      <c r="A156" s="82">
        <v>148</v>
      </c>
      <c r="B156" s="147" t="s">
        <v>174</v>
      </c>
      <c r="C156" s="12">
        <f t="shared" si="20"/>
        <v>0</v>
      </c>
      <c r="D156" s="138">
        <f>H156+L156+P156+T156</f>
        <v>0</v>
      </c>
      <c r="E156" s="19"/>
      <c r="F156" s="24"/>
      <c r="G156" s="141">
        <f t="shared" si="24"/>
        <v>0</v>
      </c>
      <c r="H156" s="85"/>
      <c r="I156" s="85"/>
      <c r="J156" s="86"/>
      <c r="K156" s="87"/>
      <c r="L156" s="85"/>
      <c r="M156" s="85"/>
      <c r="N156" s="84"/>
      <c r="O156" s="87"/>
      <c r="P156" s="85"/>
      <c r="Q156" s="85"/>
      <c r="R156" s="84"/>
      <c r="S156" s="87"/>
      <c r="T156" s="85"/>
      <c r="U156" s="85"/>
      <c r="V156" s="84"/>
    </row>
    <row r="157" spans="1:22" x14ac:dyDescent="0.2">
      <c r="A157" s="82">
        <v>149</v>
      </c>
      <c r="B157" s="17" t="s">
        <v>25</v>
      </c>
      <c r="C157" s="21">
        <f t="shared" si="20"/>
        <v>0</v>
      </c>
      <c r="D157" s="19">
        <f t="shared" si="20"/>
        <v>0</v>
      </c>
      <c r="E157" s="19">
        <f t="shared" si="20"/>
        <v>0</v>
      </c>
      <c r="F157" s="22"/>
      <c r="G157" s="18">
        <f t="shared" si="24"/>
        <v>0</v>
      </c>
      <c r="H157" s="19"/>
      <c r="I157" s="19"/>
      <c r="J157" s="20"/>
      <c r="K157" s="21"/>
      <c r="L157" s="19"/>
      <c r="M157" s="19"/>
      <c r="N157" s="84"/>
      <c r="O157" s="87"/>
      <c r="P157" s="85"/>
      <c r="Q157" s="85"/>
      <c r="R157" s="84"/>
      <c r="S157" s="21">
        <f>T157+V157</f>
        <v>0</v>
      </c>
      <c r="T157" s="19"/>
      <c r="U157" s="19"/>
      <c r="V157" s="22"/>
    </row>
    <row r="158" spans="1:22" x14ac:dyDescent="0.2">
      <c r="A158" s="82">
        <f t="shared" ref="A158:A205" si="26">+A157+1</f>
        <v>150</v>
      </c>
      <c r="B158" s="17" t="s">
        <v>7</v>
      </c>
      <c r="C158" s="21">
        <f t="shared" si="20"/>
        <v>0</v>
      </c>
      <c r="D158" s="19">
        <f t="shared" si="20"/>
        <v>0</v>
      </c>
      <c r="E158" s="19">
        <f t="shared" si="20"/>
        <v>0</v>
      </c>
      <c r="F158" s="22"/>
      <c r="G158" s="18"/>
      <c r="H158" s="15"/>
      <c r="I158" s="15"/>
      <c r="J158" s="23"/>
      <c r="K158" s="21">
        <f t="shared" ref="K158:K169" si="27">L158+N158</f>
        <v>0</v>
      </c>
      <c r="L158" s="19"/>
      <c r="M158" s="19"/>
      <c r="N158" s="24"/>
      <c r="O158" s="87"/>
      <c r="P158" s="85"/>
      <c r="Q158" s="85"/>
      <c r="R158" s="84"/>
      <c r="S158" s="87"/>
      <c r="T158" s="85"/>
      <c r="U158" s="85"/>
      <c r="V158" s="84"/>
    </row>
    <row r="159" spans="1:22" x14ac:dyDescent="0.2">
      <c r="A159" s="82">
        <f t="shared" si="26"/>
        <v>151</v>
      </c>
      <c r="B159" s="17" t="s">
        <v>8</v>
      </c>
      <c r="C159" s="21">
        <f t="shared" si="20"/>
        <v>0</v>
      </c>
      <c r="D159" s="19">
        <f t="shared" si="20"/>
        <v>0</v>
      </c>
      <c r="E159" s="19">
        <f t="shared" si="20"/>
        <v>0</v>
      </c>
      <c r="F159" s="22"/>
      <c r="G159" s="18"/>
      <c r="H159" s="15"/>
      <c r="I159" s="15"/>
      <c r="J159" s="23"/>
      <c r="K159" s="21">
        <f t="shared" si="27"/>
        <v>0</v>
      </c>
      <c r="L159" s="19"/>
      <c r="M159" s="19"/>
      <c r="N159" s="24"/>
      <c r="O159" s="87"/>
      <c r="P159" s="85"/>
      <c r="Q159" s="85"/>
      <c r="R159" s="84"/>
      <c r="S159" s="87"/>
      <c r="T159" s="85"/>
      <c r="U159" s="85"/>
      <c r="V159" s="84"/>
    </row>
    <row r="160" spans="1:22" x14ac:dyDescent="0.2">
      <c r="A160" s="82">
        <f t="shared" si="26"/>
        <v>152</v>
      </c>
      <c r="B160" s="17" t="s">
        <v>9</v>
      </c>
      <c r="C160" s="21">
        <f t="shared" si="20"/>
        <v>0</v>
      </c>
      <c r="D160" s="19">
        <f t="shared" si="20"/>
        <v>0</v>
      </c>
      <c r="E160" s="19">
        <f t="shared" si="20"/>
        <v>0</v>
      </c>
      <c r="F160" s="22"/>
      <c r="G160" s="18"/>
      <c r="H160" s="15"/>
      <c r="I160" s="15"/>
      <c r="J160" s="23"/>
      <c r="K160" s="21">
        <f t="shared" si="27"/>
        <v>0</v>
      </c>
      <c r="L160" s="19"/>
      <c r="M160" s="19"/>
      <c r="N160" s="24"/>
      <c r="O160" s="87"/>
      <c r="P160" s="85"/>
      <c r="Q160" s="85"/>
      <c r="R160" s="84"/>
      <c r="S160" s="87"/>
      <c r="T160" s="85"/>
      <c r="U160" s="85"/>
      <c r="V160" s="84"/>
    </row>
    <row r="161" spans="1:22" x14ac:dyDescent="0.2">
      <c r="A161" s="82">
        <f t="shared" si="26"/>
        <v>153</v>
      </c>
      <c r="B161" s="17" t="s">
        <v>10</v>
      </c>
      <c r="C161" s="21">
        <f t="shared" si="20"/>
        <v>0</v>
      </c>
      <c r="D161" s="19">
        <f t="shared" si="20"/>
        <v>0</v>
      </c>
      <c r="E161" s="19">
        <f t="shared" si="20"/>
        <v>0</v>
      </c>
      <c r="F161" s="22"/>
      <c r="G161" s="18"/>
      <c r="H161" s="15"/>
      <c r="I161" s="15"/>
      <c r="J161" s="23"/>
      <c r="K161" s="21">
        <f t="shared" si="27"/>
        <v>0</v>
      </c>
      <c r="L161" s="19"/>
      <c r="M161" s="19"/>
      <c r="N161" s="24"/>
      <c r="O161" s="87"/>
      <c r="P161" s="85"/>
      <c r="Q161" s="85"/>
      <c r="R161" s="84"/>
      <c r="S161" s="87"/>
      <c r="T161" s="85"/>
      <c r="U161" s="85"/>
      <c r="V161" s="84"/>
    </row>
    <row r="162" spans="1:22" x14ac:dyDescent="0.2">
      <c r="A162" s="82">
        <f t="shared" si="26"/>
        <v>154</v>
      </c>
      <c r="B162" s="17" t="s">
        <v>11</v>
      </c>
      <c r="C162" s="21">
        <f t="shared" si="20"/>
        <v>0</v>
      </c>
      <c r="D162" s="19">
        <f t="shared" si="20"/>
        <v>0</v>
      </c>
      <c r="E162" s="19">
        <f t="shared" si="20"/>
        <v>0</v>
      </c>
      <c r="F162" s="22"/>
      <c r="G162" s="18"/>
      <c r="H162" s="15"/>
      <c r="I162" s="15"/>
      <c r="J162" s="23"/>
      <c r="K162" s="21">
        <f t="shared" si="27"/>
        <v>0</v>
      </c>
      <c r="L162" s="19"/>
      <c r="M162" s="19"/>
      <c r="N162" s="24"/>
      <c r="O162" s="87"/>
      <c r="P162" s="85"/>
      <c r="Q162" s="85"/>
      <c r="R162" s="84"/>
      <c r="S162" s="87"/>
      <c r="T162" s="85"/>
      <c r="U162" s="85"/>
      <c r="V162" s="84"/>
    </row>
    <row r="163" spans="1:22" x14ac:dyDescent="0.2">
      <c r="A163" s="82">
        <f t="shared" si="26"/>
        <v>155</v>
      </c>
      <c r="B163" s="17" t="s">
        <v>12</v>
      </c>
      <c r="C163" s="21">
        <f t="shared" si="20"/>
        <v>0</v>
      </c>
      <c r="D163" s="19">
        <f t="shared" si="20"/>
        <v>0</v>
      </c>
      <c r="E163" s="19">
        <f t="shared" si="20"/>
        <v>0</v>
      </c>
      <c r="F163" s="22"/>
      <c r="G163" s="18"/>
      <c r="H163" s="15"/>
      <c r="I163" s="15"/>
      <c r="J163" s="23"/>
      <c r="K163" s="21">
        <f t="shared" si="27"/>
        <v>0</v>
      </c>
      <c r="L163" s="19"/>
      <c r="M163" s="19"/>
      <c r="N163" s="24"/>
      <c r="O163" s="87"/>
      <c r="P163" s="85"/>
      <c r="Q163" s="85"/>
      <c r="R163" s="84"/>
      <c r="S163" s="87"/>
      <c r="T163" s="85"/>
      <c r="U163" s="85"/>
      <c r="V163" s="84"/>
    </row>
    <row r="164" spans="1:22" x14ac:dyDescent="0.2">
      <c r="A164" s="82">
        <f t="shared" si="26"/>
        <v>156</v>
      </c>
      <c r="B164" s="17" t="s">
        <v>13</v>
      </c>
      <c r="C164" s="21">
        <f t="shared" si="20"/>
        <v>0</v>
      </c>
      <c r="D164" s="19">
        <f t="shared" si="20"/>
        <v>0</v>
      </c>
      <c r="E164" s="19">
        <f t="shared" si="20"/>
        <v>0</v>
      </c>
      <c r="F164" s="22"/>
      <c r="G164" s="18"/>
      <c r="H164" s="15"/>
      <c r="I164" s="15"/>
      <c r="J164" s="23"/>
      <c r="K164" s="21">
        <f t="shared" si="27"/>
        <v>0</v>
      </c>
      <c r="L164" s="19"/>
      <c r="M164" s="19"/>
      <c r="N164" s="24"/>
      <c r="O164" s="87"/>
      <c r="P164" s="85"/>
      <c r="Q164" s="85"/>
      <c r="R164" s="84"/>
      <c r="S164" s="87"/>
      <c r="T164" s="85"/>
      <c r="U164" s="85"/>
      <c r="V164" s="84"/>
    </row>
    <row r="165" spans="1:22" x14ac:dyDescent="0.2">
      <c r="A165" s="82">
        <f t="shared" si="26"/>
        <v>157</v>
      </c>
      <c r="B165" s="17" t="s">
        <v>14</v>
      </c>
      <c r="C165" s="21">
        <f t="shared" ref="C165:E174" si="28">G165+K165+O165+S165</f>
        <v>0</v>
      </c>
      <c r="D165" s="19">
        <f t="shared" si="28"/>
        <v>0</v>
      </c>
      <c r="E165" s="19">
        <f t="shared" si="28"/>
        <v>0</v>
      </c>
      <c r="F165" s="22"/>
      <c r="G165" s="18"/>
      <c r="H165" s="15"/>
      <c r="I165" s="15"/>
      <c r="J165" s="23"/>
      <c r="K165" s="21">
        <f t="shared" si="27"/>
        <v>0</v>
      </c>
      <c r="L165" s="19"/>
      <c r="M165" s="19"/>
      <c r="N165" s="24"/>
      <c r="O165" s="87"/>
      <c r="P165" s="85"/>
      <c r="Q165" s="85"/>
      <c r="R165" s="84"/>
      <c r="S165" s="87"/>
      <c r="T165" s="85"/>
      <c r="U165" s="85"/>
      <c r="V165" s="84"/>
    </row>
    <row r="166" spans="1:22" x14ac:dyDescent="0.2">
      <c r="A166" s="82">
        <f t="shared" si="26"/>
        <v>158</v>
      </c>
      <c r="B166" s="17" t="s">
        <v>26</v>
      </c>
      <c r="C166" s="21">
        <f t="shared" si="28"/>
        <v>0</v>
      </c>
      <c r="D166" s="19">
        <f t="shared" si="28"/>
        <v>0</v>
      </c>
      <c r="E166" s="19">
        <f t="shared" si="28"/>
        <v>0</v>
      </c>
      <c r="F166" s="22"/>
      <c r="G166" s="18">
        <f t="shared" si="24"/>
        <v>0</v>
      </c>
      <c r="H166" s="19"/>
      <c r="I166" s="15"/>
      <c r="J166" s="23"/>
      <c r="K166" s="21">
        <f t="shared" si="27"/>
        <v>0</v>
      </c>
      <c r="L166" s="19"/>
      <c r="M166" s="19"/>
      <c r="N166" s="24"/>
      <c r="O166" s="87"/>
      <c r="P166" s="85"/>
      <c r="Q166" s="85"/>
      <c r="R166" s="84"/>
      <c r="S166" s="87"/>
      <c r="T166" s="85"/>
      <c r="U166" s="85"/>
      <c r="V166" s="84"/>
    </row>
    <row r="167" spans="1:22" x14ac:dyDescent="0.2">
      <c r="A167" s="82">
        <f t="shared" si="26"/>
        <v>159</v>
      </c>
      <c r="B167" s="17" t="s">
        <v>15</v>
      </c>
      <c r="C167" s="21">
        <f t="shared" si="28"/>
        <v>0</v>
      </c>
      <c r="D167" s="19">
        <f t="shared" si="28"/>
        <v>0</v>
      </c>
      <c r="E167" s="19">
        <f t="shared" si="28"/>
        <v>0</v>
      </c>
      <c r="F167" s="22"/>
      <c r="G167" s="18"/>
      <c r="H167" s="15"/>
      <c r="I167" s="15"/>
      <c r="J167" s="23"/>
      <c r="K167" s="21">
        <f t="shared" si="27"/>
        <v>0</v>
      </c>
      <c r="L167" s="19"/>
      <c r="M167" s="19"/>
      <c r="N167" s="24"/>
      <c r="O167" s="87"/>
      <c r="P167" s="85"/>
      <c r="Q167" s="85"/>
      <c r="R167" s="84"/>
      <c r="S167" s="87"/>
      <c r="T167" s="85"/>
      <c r="U167" s="85"/>
      <c r="V167" s="84"/>
    </row>
    <row r="168" spans="1:22" x14ac:dyDescent="0.2">
      <c r="A168" s="82">
        <f t="shared" si="26"/>
        <v>160</v>
      </c>
      <c r="B168" s="46" t="s">
        <v>101</v>
      </c>
      <c r="C168" s="21">
        <f t="shared" si="28"/>
        <v>0</v>
      </c>
      <c r="D168" s="19">
        <f t="shared" si="28"/>
        <v>0</v>
      </c>
      <c r="E168" s="19">
        <f t="shared" si="28"/>
        <v>0</v>
      </c>
      <c r="F168" s="22"/>
      <c r="G168" s="92"/>
      <c r="H168" s="85"/>
      <c r="I168" s="85"/>
      <c r="J168" s="92"/>
      <c r="K168" s="27">
        <f t="shared" si="27"/>
        <v>0</v>
      </c>
      <c r="L168" s="19"/>
      <c r="M168" s="19"/>
      <c r="N168" s="89"/>
      <c r="O168" s="94"/>
      <c r="P168" s="85"/>
      <c r="Q168" s="85"/>
      <c r="R168" s="89"/>
      <c r="S168" s="94"/>
      <c r="T168" s="85"/>
      <c r="U168" s="85"/>
      <c r="V168" s="89"/>
    </row>
    <row r="169" spans="1:22" x14ac:dyDescent="0.2">
      <c r="A169" s="82">
        <f t="shared" si="26"/>
        <v>161</v>
      </c>
      <c r="B169" s="32" t="s">
        <v>175</v>
      </c>
      <c r="C169" s="12">
        <f t="shared" si="28"/>
        <v>0</v>
      </c>
      <c r="D169" s="15">
        <f t="shared" si="28"/>
        <v>0</v>
      </c>
      <c r="E169" s="15">
        <f t="shared" si="28"/>
        <v>0</v>
      </c>
      <c r="F169" s="22"/>
      <c r="G169" s="92"/>
      <c r="H169" s="19"/>
      <c r="I169" s="19"/>
      <c r="J169" s="88"/>
      <c r="K169" s="148">
        <f t="shared" si="27"/>
        <v>0</v>
      </c>
      <c r="L169" s="15"/>
      <c r="M169" s="15"/>
      <c r="N169" s="89"/>
      <c r="O169" s="94"/>
      <c r="P169" s="85"/>
      <c r="Q169" s="85"/>
      <c r="R169" s="89"/>
      <c r="S169" s="94"/>
      <c r="T169" s="85"/>
      <c r="U169" s="85"/>
      <c r="V169" s="89"/>
    </row>
    <row r="170" spans="1:22" x14ac:dyDescent="0.2">
      <c r="A170" s="82">
        <f t="shared" si="26"/>
        <v>162</v>
      </c>
      <c r="B170" s="17" t="s">
        <v>33</v>
      </c>
      <c r="C170" s="21">
        <f t="shared" si="28"/>
        <v>0</v>
      </c>
      <c r="D170" s="19">
        <f t="shared" si="28"/>
        <v>0</v>
      </c>
      <c r="E170" s="19"/>
      <c r="F170" s="22"/>
      <c r="G170" s="88">
        <f>G171+G172</f>
        <v>0</v>
      </c>
      <c r="H170" s="19"/>
      <c r="I170" s="85"/>
      <c r="J170" s="92"/>
      <c r="K170" s="94"/>
      <c r="L170" s="85"/>
      <c r="M170" s="85"/>
      <c r="N170" s="89"/>
      <c r="O170" s="94"/>
      <c r="P170" s="85"/>
      <c r="Q170" s="85"/>
      <c r="R170" s="89"/>
      <c r="S170" s="94"/>
      <c r="T170" s="85"/>
      <c r="U170" s="85"/>
      <c r="V170" s="89"/>
    </row>
    <row r="171" spans="1:22" x14ac:dyDescent="0.2">
      <c r="A171" s="82">
        <f t="shared" si="26"/>
        <v>163</v>
      </c>
      <c r="B171" s="110" t="s">
        <v>176</v>
      </c>
      <c r="C171" s="12">
        <f t="shared" si="28"/>
        <v>0</v>
      </c>
      <c r="D171" s="85">
        <f t="shared" si="28"/>
        <v>0</v>
      </c>
      <c r="E171" s="85"/>
      <c r="F171" s="84"/>
      <c r="G171" s="92">
        <f t="shared" si="24"/>
        <v>0</v>
      </c>
      <c r="H171" s="85"/>
      <c r="I171" s="85"/>
      <c r="J171" s="92"/>
      <c r="K171" s="94"/>
      <c r="L171" s="85"/>
      <c r="M171" s="85"/>
      <c r="N171" s="89"/>
      <c r="O171" s="94"/>
      <c r="P171" s="85"/>
      <c r="Q171" s="85"/>
      <c r="R171" s="89"/>
      <c r="S171" s="94"/>
      <c r="T171" s="85"/>
      <c r="U171" s="85"/>
      <c r="V171" s="89"/>
    </row>
    <row r="172" spans="1:22" x14ac:dyDescent="0.2">
      <c r="A172" s="82">
        <f t="shared" si="26"/>
        <v>164</v>
      </c>
      <c r="B172" s="32" t="s">
        <v>177</v>
      </c>
      <c r="C172" s="12">
        <f t="shared" si="28"/>
        <v>0</v>
      </c>
      <c r="D172" s="85">
        <f t="shared" si="28"/>
        <v>0</v>
      </c>
      <c r="E172" s="85"/>
      <c r="F172" s="84"/>
      <c r="G172" s="92">
        <f t="shared" ref="G172:G207" si="29">H172+J172</f>
        <v>0</v>
      </c>
      <c r="H172" s="85"/>
      <c r="I172" s="85"/>
      <c r="J172" s="92"/>
      <c r="K172" s="94"/>
      <c r="L172" s="85"/>
      <c r="M172" s="85"/>
      <c r="N172" s="89"/>
      <c r="O172" s="94"/>
      <c r="P172" s="85"/>
      <c r="Q172" s="85"/>
      <c r="R172" s="89"/>
      <c r="S172" s="94"/>
      <c r="T172" s="85"/>
      <c r="U172" s="85"/>
      <c r="V172" s="89"/>
    </row>
    <row r="173" spans="1:22" x14ac:dyDescent="0.2">
      <c r="A173" s="82">
        <v>165</v>
      </c>
      <c r="B173" s="17" t="s">
        <v>6</v>
      </c>
      <c r="C173" s="21">
        <f t="shared" si="28"/>
        <v>0</v>
      </c>
      <c r="D173" s="19">
        <f t="shared" si="28"/>
        <v>0</v>
      </c>
      <c r="E173" s="19">
        <f>I173+M173+Q173+U173</f>
        <v>0</v>
      </c>
      <c r="F173" s="22"/>
      <c r="G173" s="18"/>
      <c r="H173" s="19"/>
      <c r="I173" s="19"/>
      <c r="J173" s="86"/>
      <c r="K173" s="27">
        <f>L173+N173</f>
        <v>0</v>
      </c>
      <c r="L173" s="19"/>
      <c r="M173" s="19"/>
      <c r="N173" s="84"/>
      <c r="O173" s="87"/>
      <c r="P173" s="85"/>
      <c r="Q173" s="85"/>
      <c r="R173" s="84"/>
      <c r="S173" s="21">
        <f>T173+V173</f>
        <v>0</v>
      </c>
      <c r="T173" s="19"/>
      <c r="U173" s="19"/>
      <c r="V173" s="84"/>
    </row>
    <row r="174" spans="1:22" ht="13.5" thickBot="1" x14ac:dyDescent="0.25">
      <c r="A174" s="111">
        <f t="shared" si="26"/>
        <v>166</v>
      </c>
      <c r="B174" s="149" t="s">
        <v>178</v>
      </c>
      <c r="C174" s="41">
        <f t="shared" si="28"/>
        <v>0</v>
      </c>
      <c r="D174" s="132">
        <f t="shared" si="28"/>
        <v>0</v>
      </c>
      <c r="E174" s="132">
        <f>I174+M174+Q174+U174</f>
        <v>0</v>
      </c>
      <c r="F174" s="133"/>
      <c r="G174" s="150"/>
      <c r="H174" s="132"/>
      <c r="I174" s="132"/>
      <c r="J174" s="151"/>
      <c r="K174" s="148">
        <f>L174+N174</f>
        <v>0</v>
      </c>
      <c r="L174" s="132"/>
      <c r="M174" s="132"/>
      <c r="N174" s="133"/>
      <c r="O174" s="131"/>
      <c r="P174" s="132"/>
      <c r="Q174" s="132"/>
      <c r="R174" s="133"/>
      <c r="S174" s="12">
        <f>T174+V174</f>
        <v>0</v>
      </c>
      <c r="T174" s="132"/>
      <c r="U174" s="132"/>
      <c r="V174" s="133"/>
    </row>
    <row r="175" spans="1:22" ht="45.75" thickBot="1" x14ac:dyDescent="0.3">
      <c r="A175" s="62">
        <f t="shared" si="26"/>
        <v>167</v>
      </c>
      <c r="B175" s="63" t="s">
        <v>179</v>
      </c>
      <c r="C175" s="56">
        <f t="shared" ref="C175:L175" si="30">C176+C185+SUM(C187:C196)</f>
        <v>0</v>
      </c>
      <c r="D175" s="52">
        <f t="shared" si="30"/>
        <v>0</v>
      </c>
      <c r="E175" s="52">
        <f t="shared" si="30"/>
        <v>0</v>
      </c>
      <c r="F175" s="54">
        <f t="shared" si="30"/>
        <v>0</v>
      </c>
      <c r="G175" s="64">
        <f t="shared" si="30"/>
        <v>0</v>
      </c>
      <c r="H175" s="52">
        <f t="shared" si="30"/>
        <v>0</v>
      </c>
      <c r="I175" s="52">
        <f>I176+I185+SUM(I187:I196)</f>
        <v>0</v>
      </c>
      <c r="J175" s="57">
        <f t="shared" si="30"/>
        <v>0</v>
      </c>
      <c r="K175" s="56">
        <f t="shared" si="30"/>
        <v>0</v>
      </c>
      <c r="L175" s="52">
        <f t="shared" si="30"/>
        <v>0</v>
      </c>
      <c r="M175" s="52"/>
      <c r="N175" s="66">
        <f>N176+N185+SUM(N187:N196)</f>
        <v>0</v>
      </c>
      <c r="O175" s="56"/>
      <c r="P175" s="52"/>
      <c r="Q175" s="52"/>
      <c r="R175" s="66"/>
      <c r="S175" s="56">
        <f>S176+S185+SUM(S187:S196)</f>
        <v>0</v>
      </c>
      <c r="T175" s="52">
        <f>T176+T185+SUM(T187:T196)</f>
        <v>0</v>
      </c>
      <c r="U175" s="52">
        <f>U176+U185+SUM(U187:U196)</f>
        <v>0</v>
      </c>
      <c r="V175" s="57">
        <f>V176+V185+SUM(V187:V196)</f>
        <v>0</v>
      </c>
    </row>
    <row r="176" spans="1:22" x14ac:dyDescent="0.2">
      <c r="A176" s="152">
        <f t="shared" si="26"/>
        <v>168</v>
      </c>
      <c r="B176" s="153" t="s">
        <v>110</v>
      </c>
      <c r="C176" s="122">
        <f>G176+K176+O176+S176</f>
        <v>0</v>
      </c>
      <c r="D176" s="102">
        <f>H176+L176+P176+T176</f>
        <v>0</v>
      </c>
      <c r="E176" s="102"/>
      <c r="F176" s="105">
        <f>J176+N176+R176+V176</f>
        <v>0</v>
      </c>
      <c r="G176" s="101">
        <f>G177+G179+G180+G181+G182+G183+G184</f>
        <v>0</v>
      </c>
      <c r="H176" s="102">
        <f>H177+H179+H180+H181+H182+H183+H184</f>
        <v>0</v>
      </c>
      <c r="I176" s="102"/>
      <c r="J176" s="154">
        <f>J177+J179</f>
        <v>0</v>
      </c>
      <c r="K176" s="101">
        <f>L176+N176</f>
        <v>0</v>
      </c>
      <c r="L176" s="101">
        <f>L177+L180+L181</f>
        <v>0</v>
      </c>
      <c r="M176" s="101"/>
      <c r="N176" s="155">
        <f>N177+N180+N181</f>
        <v>0</v>
      </c>
      <c r="O176" s="156"/>
      <c r="P176" s="157"/>
      <c r="Q176" s="157"/>
      <c r="R176" s="103"/>
      <c r="S176" s="123"/>
      <c r="T176" s="108"/>
      <c r="U176" s="108"/>
      <c r="V176" s="104"/>
    </row>
    <row r="177" spans="1:22" x14ac:dyDescent="0.2">
      <c r="A177" s="158">
        <f t="shared" si="26"/>
        <v>169</v>
      </c>
      <c r="B177" s="32" t="s">
        <v>180</v>
      </c>
      <c r="C177" s="12">
        <f>G177+K177+O177+S177</f>
        <v>0</v>
      </c>
      <c r="D177" s="85">
        <f>H177</f>
        <v>0</v>
      </c>
      <c r="E177" s="85"/>
      <c r="F177" s="86">
        <f>J177+N177+R177+V177</f>
        <v>0</v>
      </c>
      <c r="G177" s="87">
        <f t="shared" si="29"/>
        <v>0</v>
      </c>
      <c r="H177" s="15"/>
      <c r="I177" s="15"/>
      <c r="J177" s="24"/>
      <c r="K177" s="79">
        <f>L177+N177</f>
        <v>0</v>
      </c>
      <c r="L177" s="85"/>
      <c r="M177" s="85"/>
      <c r="N177" s="84">
        <f>N178</f>
        <v>0</v>
      </c>
      <c r="O177" s="87"/>
      <c r="P177" s="85"/>
      <c r="Q177" s="85"/>
      <c r="R177" s="84"/>
      <c r="S177" s="87"/>
      <c r="T177" s="85"/>
      <c r="U177" s="85"/>
      <c r="V177" s="84"/>
    </row>
    <row r="178" spans="1:22" x14ac:dyDescent="0.2">
      <c r="A178" s="158">
        <f t="shared" si="26"/>
        <v>170</v>
      </c>
      <c r="B178" s="32" t="s">
        <v>181</v>
      </c>
      <c r="C178" s="12">
        <f t="shared" ref="C178:E208" si="31">G178+K178+O178+S178</f>
        <v>0</v>
      </c>
      <c r="D178" s="85"/>
      <c r="E178" s="85"/>
      <c r="F178" s="86">
        <f>J178+N178+R178+V178</f>
        <v>0</v>
      </c>
      <c r="G178" s="87"/>
      <c r="H178" s="15"/>
      <c r="I178" s="85"/>
      <c r="J178" s="84"/>
      <c r="K178" s="87">
        <f>L178+N178</f>
        <v>0</v>
      </c>
      <c r="L178" s="85"/>
      <c r="M178" s="85"/>
      <c r="N178" s="84"/>
      <c r="O178" s="87"/>
      <c r="P178" s="85"/>
      <c r="Q178" s="85"/>
      <c r="R178" s="84"/>
      <c r="S178" s="87"/>
      <c r="T178" s="85"/>
      <c r="U178" s="85"/>
      <c r="V178" s="84"/>
    </row>
    <row r="179" spans="1:22" ht="25.5" x14ac:dyDescent="0.2">
      <c r="A179" s="158">
        <v>171</v>
      </c>
      <c r="B179" s="159" t="s">
        <v>182</v>
      </c>
      <c r="C179" s="148">
        <f t="shared" si="31"/>
        <v>0</v>
      </c>
      <c r="D179" s="15"/>
      <c r="E179" s="15"/>
      <c r="F179" s="86">
        <f>J179+N179+R179+V179</f>
        <v>0</v>
      </c>
      <c r="G179" s="87">
        <f t="shared" si="29"/>
        <v>0</v>
      </c>
      <c r="H179" s="15"/>
      <c r="I179" s="85"/>
      <c r="J179" s="7"/>
      <c r="K179" s="87"/>
      <c r="L179" s="85"/>
      <c r="M179" s="85"/>
      <c r="N179" s="84"/>
      <c r="O179" s="87"/>
      <c r="P179" s="85"/>
      <c r="Q179" s="85"/>
      <c r="R179" s="84"/>
      <c r="S179" s="87"/>
      <c r="T179" s="85"/>
      <c r="U179" s="85"/>
      <c r="V179" s="84"/>
    </row>
    <row r="180" spans="1:22" x14ac:dyDescent="0.2">
      <c r="A180" s="158">
        <f t="shared" si="26"/>
        <v>172</v>
      </c>
      <c r="B180" s="32" t="s">
        <v>183</v>
      </c>
      <c r="C180" s="12">
        <f t="shared" si="31"/>
        <v>0</v>
      </c>
      <c r="D180" s="85">
        <f t="shared" si="31"/>
        <v>0</v>
      </c>
      <c r="E180" s="85"/>
      <c r="F180" s="86"/>
      <c r="G180" s="87">
        <f t="shared" si="29"/>
        <v>0</v>
      </c>
      <c r="H180" s="85"/>
      <c r="I180" s="85"/>
      <c r="J180" s="84"/>
      <c r="K180" s="87"/>
      <c r="L180" s="85"/>
      <c r="M180" s="85"/>
      <c r="N180" s="84"/>
      <c r="O180" s="87"/>
      <c r="P180" s="85"/>
      <c r="Q180" s="85"/>
      <c r="R180" s="84"/>
      <c r="S180" s="87"/>
      <c r="T180" s="85"/>
      <c r="U180" s="85"/>
      <c r="V180" s="84"/>
    </row>
    <row r="181" spans="1:22" x14ac:dyDescent="0.2">
      <c r="A181" s="158">
        <f t="shared" si="26"/>
        <v>173</v>
      </c>
      <c r="B181" s="32" t="s">
        <v>175</v>
      </c>
      <c r="C181" s="12">
        <f t="shared" si="31"/>
        <v>0</v>
      </c>
      <c r="D181" s="85">
        <f t="shared" si="31"/>
        <v>0</v>
      </c>
      <c r="E181" s="85"/>
      <c r="F181" s="86"/>
      <c r="G181" s="87"/>
      <c r="H181" s="91"/>
      <c r="I181" s="91"/>
      <c r="J181" s="89"/>
      <c r="K181" s="87">
        <f>L181+N181</f>
        <v>0</v>
      </c>
      <c r="L181" s="91"/>
      <c r="M181" s="91"/>
      <c r="N181" s="89"/>
      <c r="O181" s="87"/>
      <c r="P181" s="91"/>
      <c r="Q181" s="91"/>
      <c r="R181" s="89"/>
      <c r="S181" s="87"/>
      <c r="T181" s="91"/>
      <c r="U181" s="91"/>
      <c r="V181" s="89"/>
    </row>
    <row r="182" spans="1:22" x14ac:dyDescent="0.2">
      <c r="A182" s="158">
        <v>174</v>
      </c>
      <c r="B182" s="32" t="s">
        <v>184</v>
      </c>
      <c r="C182" s="12">
        <f t="shared" si="31"/>
        <v>0</v>
      </c>
      <c r="D182" s="85">
        <f t="shared" si="31"/>
        <v>0</v>
      </c>
      <c r="E182" s="85"/>
      <c r="F182" s="86"/>
      <c r="G182" s="87">
        <f t="shared" si="29"/>
        <v>0</v>
      </c>
      <c r="H182" s="85"/>
      <c r="I182" s="91"/>
      <c r="J182" s="89"/>
      <c r="K182" s="94"/>
      <c r="L182" s="85"/>
      <c r="M182" s="91"/>
      <c r="N182" s="89"/>
      <c r="O182" s="94"/>
      <c r="P182" s="85"/>
      <c r="Q182" s="91"/>
      <c r="R182" s="89"/>
      <c r="S182" s="94"/>
      <c r="T182" s="85"/>
      <c r="U182" s="91"/>
      <c r="V182" s="89"/>
    </row>
    <row r="183" spans="1:22" x14ac:dyDescent="0.2">
      <c r="A183" s="158">
        <v>175</v>
      </c>
      <c r="B183" s="32" t="s">
        <v>185</v>
      </c>
      <c r="C183" s="12">
        <f t="shared" si="31"/>
        <v>0</v>
      </c>
      <c r="D183" s="85">
        <f t="shared" si="31"/>
        <v>0</v>
      </c>
      <c r="E183" s="85"/>
      <c r="F183" s="86"/>
      <c r="G183" s="94">
        <f t="shared" si="29"/>
        <v>0</v>
      </c>
      <c r="H183" s="85"/>
      <c r="I183" s="91"/>
      <c r="J183" s="89"/>
      <c r="K183" s="94"/>
      <c r="L183" s="85"/>
      <c r="M183" s="91"/>
      <c r="N183" s="89"/>
      <c r="O183" s="94"/>
      <c r="P183" s="85"/>
      <c r="Q183" s="91"/>
      <c r="R183" s="89"/>
      <c r="S183" s="94"/>
      <c r="T183" s="85"/>
      <c r="U183" s="91"/>
      <c r="V183" s="89"/>
    </row>
    <row r="184" spans="1:22" x14ac:dyDescent="0.2">
      <c r="A184" s="158">
        <v>176</v>
      </c>
      <c r="B184" s="32" t="s">
        <v>186</v>
      </c>
      <c r="C184" s="12">
        <f t="shared" si="31"/>
        <v>0</v>
      </c>
      <c r="D184" s="85">
        <f t="shared" si="31"/>
        <v>0</v>
      </c>
      <c r="E184" s="85"/>
      <c r="F184" s="86"/>
      <c r="G184" s="94">
        <f t="shared" si="29"/>
        <v>0</v>
      </c>
      <c r="H184" s="85"/>
      <c r="I184" s="91"/>
      <c r="J184" s="89"/>
      <c r="K184" s="94"/>
      <c r="L184" s="85"/>
      <c r="M184" s="91"/>
      <c r="N184" s="89"/>
      <c r="O184" s="94"/>
      <c r="P184" s="85"/>
      <c r="Q184" s="91"/>
      <c r="R184" s="89"/>
      <c r="S184" s="94"/>
      <c r="T184" s="85"/>
      <c r="U184" s="91"/>
      <c r="V184" s="89"/>
    </row>
    <row r="185" spans="1:22" x14ac:dyDescent="0.2">
      <c r="A185" s="158">
        <v>177</v>
      </c>
      <c r="B185" s="17" t="s">
        <v>115</v>
      </c>
      <c r="C185" s="21">
        <f t="shared" si="31"/>
        <v>0</v>
      </c>
      <c r="D185" s="19">
        <f>H185</f>
        <v>0</v>
      </c>
      <c r="E185" s="19"/>
      <c r="F185" s="20"/>
      <c r="G185" s="27">
        <f>G186</f>
        <v>0</v>
      </c>
      <c r="H185" s="19">
        <f>H186</f>
        <v>0</v>
      </c>
      <c r="I185" s="85"/>
      <c r="J185" s="89"/>
      <c r="K185" s="94"/>
      <c r="L185" s="85"/>
      <c r="M185" s="85"/>
      <c r="N185" s="89"/>
      <c r="O185" s="94"/>
      <c r="P185" s="85"/>
      <c r="Q185" s="85"/>
      <c r="R185" s="89"/>
      <c r="S185" s="94"/>
      <c r="T185" s="85"/>
      <c r="U185" s="85"/>
      <c r="V185" s="89"/>
    </row>
    <row r="186" spans="1:22" x14ac:dyDescent="0.2">
      <c r="A186" s="158">
        <f t="shared" si="26"/>
        <v>178</v>
      </c>
      <c r="B186" s="32" t="s">
        <v>187</v>
      </c>
      <c r="C186" s="12">
        <f t="shared" si="31"/>
        <v>0</v>
      </c>
      <c r="D186" s="85">
        <f t="shared" si="31"/>
        <v>0</v>
      </c>
      <c r="E186" s="85"/>
      <c r="F186" s="86"/>
      <c r="G186" s="94">
        <f t="shared" si="29"/>
        <v>0</v>
      </c>
      <c r="H186" s="85"/>
      <c r="I186" s="85"/>
      <c r="J186" s="89"/>
      <c r="K186" s="94"/>
      <c r="L186" s="85"/>
      <c r="M186" s="85"/>
      <c r="N186" s="89"/>
      <c r="O186" s="94"/>
      <c r="P186" s="85"/>
      <c r="Q186" s="85"/>
      <c r="R186" s="89"/>
      <c r="S186" s="94"/>
      <c r="T186" s="85"/>
      <c r="U186" s="85"/>
      <c r="V186" s="89"/>
    </row>
    <row r="187" spans="1:22" x14ac:dyDescent="0.2">
      <c r="A187" s="158">
        <v>179</v>
      </c>
      <c r="B187" s="17" t="s">
        <v>7</v>
      </c>
      <c r="C187" s="21">
        <f t="shared" si="31"/>
        <v>0</v>
      </c>
      <c r="D187" s="19">
        <f t="shared" si="31"/>
        <v>0</v>
      </c>
      <c r="E187" s="19">
        <f t="shared" si="31"/>
        <v>0</v>
      </c>
      <c r="F187" s="20"/>
      <c r="G187" s="21">
        <f t="shared" si="29"/>
        <v>0</v>
      </c>
      <c r="H187" s="19"/>
      <c r="I187" s="19"/>
      <c r="J187" s="24"/>
      <c r="K187" s="21"/>
      <c r="L187" s="85"/>
      <c r="M187" s="85"/>
      <c r="N187" s="84"/>
      <c r="O187" s="87"/>
      <c r="P187" s="85"/>
      <c r="Q187" s="85"/>
      <c r="R187" s="84"/>
      <c r="S187" s="21">
        <f>T187+V187</f>
        <v>0</v>
      </c>
      <c r="T187" s="19"/>
      <c r="U187" s="19"/>
      <c r="V187" s="22"/>
    </row>
    <row r="188" spans="1:22" x14ac:dyDescent="0.2">
      <c r="A188" s="158">
        <f t="shared" si="26"/>
        <v>180</v>
      </c>
      <c r="B188" s="17" t="s">
        <v>8</v>
      </c>
      <c r="C188" s="21">
        <f t="shared" si="31"/>
        <v>0</v>
      </c>
      <c r="D188" s="19">
        <f t="shared" si="31"/>
        <v>0</v>
      </c>
      <c r="E188" s="19">
        <f t="shared" si="31"/>
        <v>0</v>
      </c>
      <c r="F188" s="20"/>
      <c r="G188" s="21">
        <f t="shared" si="29"/>
        <v>0</v>
      </c>
      <c r="H188" s="19"/>
      <c r="I188" s="19"/>
      <c r="J188" s="24"/>
      <c r="K188" s="21"/>
      <c r="L188" s="85"/>
      <c r="M188" s="85"/>
      <c r="N188" s="84"/>
      <c r="O188" s="87"/>
      <c r="P188" s="85"/>
      <c r="Q188" s="85"/>
      <c r="R188" s="84"/>
      <c r="S188" s="21"/>
      <c r="T188" s="19"/>
      <c r="U188" s="19"/>
      <c r="V188" s="22"/>
    </row>
    <row r="189" spans="1:22" x14ac:dyDescent="0.2">
      <c r="A189" s="158">
        <f t="shared" si="26"/>
        <v>181</v>
      </c>
      <c r="B189" s="17" t="s">
        <v>9</v>
      </c>
      <c r="C189" s="21">
        <f t="shared" si="31"/>
        <v>0</v>
      </c>
      <c r="D189" s="19">
        <f t="shared" si="31"/>
        <v>0</v>
      </c>
      <c r="E189" s="19">
        <f t="shared" si="31"/>
        <v>0</v>
      </c>
      <c r="F189" s="20"/>
      <c r="G189" s="21">
        <f t="shared" si="29"/>
        <v>0</v>
      </c>
      <c r="H189" s="19"/>
      <c r="I189" s="19"/>
      <c r="J189" s="22"/>
      <c r="K189" s="21"/>
      <c r="L189" s="85"/>
      <c r="M189" s="85"/>
      <c r="N189" s="84"/>
      <c r="O189" s="87"/>
      <c r="P189" s="85"/>
      <c r="Q189" s="85"/>
      <c r="R189" s="84"/>
      <c r="S189" s="21">
        <f>T189+V189</f>
        <v>0</v>
      </c>
      <c r="T189" s="19"/>
      <c r="U189" s="19"/>
      <c r="V189" s="22"/>
    </row>
    <row r="190" spans="1:22" x14ac:dyDescent="0.2">
      <c r="A190" s="158">
        <f t="shared" si="26"/>
        <v>182</v>
      </c>
      <c r="B190" s="17" t="s">
        <v>10</v>
      </c>
      <c r="C190" s="21">
        <f t="shared" si="31"/>
        <v>0</v>
      </c>
      <c r="D190" s="19">
        <f t="shared" si="31"/>
        <v>0</v>
      </c>
      <c r="E190" s="19">
        <f t="shared" si="31"/>
        <v>0</v>
      </c>
      <c r="F190" s="20"/>
      <c r="G190" s="21">
        <f t="shared" si="29"/>
        <v>0</v>
      </c>
      <c r="H190" s="19"/>
      <c r="I190" s="19"/>
      <c r="J190" s="22"/>
      <c r="K190" s="21"/>
      <c r="L190" s="85"/>
      <c r="M190" s="85"/>
      <c r="N190" s="84"/>
      <c r="O190" s="87"/>
      <c r="P190" s="85"/>
      <c r="Q190" s="85"/>
      <c r="R190" s="84"/>
      <c r="S190" s="21"/>
      <c r="T190" s="19"/>
      <c r="U190" s="19"/>
      <c r="V190" s="22"/>
    </row>
    <row r="191" spans="1:22" x14ac:dyDescent="0.2">
      <c r="A191" s="158">
        <f t="shared" si="26"/>
        <v>183</v>
      </c>
      <c r="B191" s="17" t="s">
        <v>11</v>
      </c>
      <c r="C191" s="21">
        <f t="shared" si="31"/>
        <v>0</v>
      </c>
      <c r="D191" s="19">
        <f t="shared" si="31"/>
        <v>0</v>
      </c>
      <c r="E191" s="19">
        <f t="shared" si="31"/>
        <v>0</v>
      </c>
      <c r="F191" s="20"/>
      <c r="G191" s="21">
        <f t="shared" si="29"/>
        <v>0</v>
      </c>
      <c r="H191" s="19"/>
      <c r="I191" s="19"/>
      <c r="J191" s="22"/>
      <c r="K191" s="21"/>
      <c r="L191" s="85"/>
      <c r="M191" s="85"/>
      <c r="N191" s="84"/>
      <c r="O191" s="87"/>
      <c r="P191" s="85"/>
      <c r="Q191" s="85"/>
      <c r="R191" s="84"/>
      <c r="S191" s="21"/>
      <c r="T191" s="19"/>
      <c r="U191" s="19"/>
      <c r="V191" s="22"/>
    </row>
    <row r="192" spans="1:22" x14ac:dyDescent="0.2">
      <c r="A192" s="158">
        <f t="shared" si="26"/>
        <v>184</v>
      </c>
      <c r="B192" s="17" t="s">
        <v>12</v>
      </c>
      <c r="C192" s="21">
        <f t="shared" si="31"/>
        <v>0</v>
      </c>
      <c r="D192" s="19">
        <f t="shared" si="31"/>
        <v>0</v>
      </c>
      <c r="E192" s="19">
        <f t="shared" si="31"/>
        <v>0</v>
      </c>
      <c r="F192" s="20"/>
      <c r="G192" s="21">
        <f t="shared" si="29"/>
        <v>0</v>
      </c>
      <c r="H192" s="19"/>
      <c r="I192" s="19"/>
      <c r="J192" s="22"/>
      <c r="K192" s="21"/>
      <c r="L192" s="85"/>
      <c r="M192" s="85"/>
      <c r="N192" s="84"/>
      <c r="O192" s="87"/>
      <c r="P192" s="85"/>
      <c r="Q192" s="85"/>
      <c r="R192" s="84"/>
      <c r="S192" s="21"/>
      <c r="T192" s="19"/>
      <c r="U192" s="19"/>
      <c r="V192" s="22"/>
    </row>
    <row r="193" spans="1:22" x14ac:dyDescent="0.2">
      <c r="A193" s="158">
        <f t="shared" si="26"/>
        <v>185</v>
      </c>
      <c r="B193" s="17" t="s">
        <v>13</v>
      </c>
      <c r="C193" s="21">
        <f t="shared" si="31"/>
        <v>0</v>
      </c>
      <c r="D193" s="19">
        <f t="shared" si="31"/>
        <v>0</v>
      </c>
      <c r="E193" s="19">
        <f t="shared" si="31"/>
        <v>0</v>
      </c>
      <c r="F193" s="20"/>
      <c r="G193" s="21">
        <f t="shared" si="29"/>
        <v>0</v>
      </c>
      <c r="H193" s="19"/>
      <c r="I193" s="19"/>
      <c r="J193" s="22"/>
      <c r="K193" s="21"/>
      <c r="L193" s="85"/>
      <c r="M193" s="85"/>
      <c r="N193" s="84"/>
      <c r="O193" s="87"/>
      <c r="P193" s="85"/>
      <c r="Q193" s="85"/>
      <c r="R193" s="84"/>
      <c r="S193" s="21">
        <f>T193+V193</f>
        <v>0</v>
      </c>
      <c r="T193" s="19"/>
      <c r="U193" s="19"/>
      <c r="V193" s="22"/>
    </row>
    <row r="194" spans="1:22" x14ac:dyDescent="0.2">
      <c r="A194" s="158">
        <f t="shared" si="26"/>
        <v>186</v>
      </c>
      <c r="B194" s="17" t="s">
        <v>14</v>
      </c>
      <c r="C194" s="21">
        <f t="shared" si="31"/>
        <v>0</v>
      </c>
      <c r="D194" s="19">
        <f t="shared" si="31"/>
        <v>0</v>
      </c>
      <c r="E194" s="19">
        <f t="shared" si="31"/>
        <v>0</v>
      </c>
      <c r="F194" s="20"/>
      <c r="G194" s="21">
        <f t="shared" si="29"/>
        <v>0</v>
      </c>
      <c r="H194" s="19"/>
      <c r="I194" s="19"/>
      <c r="J194" s="22"/>
      <c r="K194" s="21"/>
      <c r="L194" s="85"/>
      <c r="M194" s="85"/>
      <c r="N194" s="84"/>
      <c r="O194" s="87"/>
      <c r="P194" s="85"/>
      <c r="Q194" s="85"/>
      <c r="R194" s="84"/>
      <c r="S194" s="21"/>
      <c r="T194" s="19"/>
      <c r="U194" s="19"/>
      <c r="V194" s="22"/>
    </row>
    <row r="195" spans="1:22" x14ac:dyDescent="0.2">
      <c r="A195" s="158">
        <f t="shared" si="26"/>
        <v>187</v>
      </c>
      <c r="B195" s="17" t="s">
        <v>26</v>
      </c>
      <c r="C195" s="21">
        <f t="shared" si="31"/>
        <v>0</v>
      </c>
      <c r="D195" s="19">
        <f t="shared" si="31"/>
        <v>0</v>
      </c>
      <c r="E195" s="19">
        <f t="shared" si="31"/>
        <v>0</v>
      </c>
      <c r="F195" s="20"/>
      <c r="G195" s="21">
        <f t="shared" si="29"/>
        <v>0</v>
      </c>
      <c r="H195" s="19"/>
      <c r="I195" s="19"/>
      <c r="J195" s="22"/>
      <c r="K195" s="21"/>
      <c r="L195" s="85"/>
      <c r="M195" s="85"/>
      <c r="N195" s="84"/>
      <c r="O195" s="87"/>
      <c r="P195" s="85"/>
      <c r="Q195" s="85"/>
      <c r="R195" s="84"/>
      <c r="S195" s="21"/>
      <c r="T195" s="19"/>
      <c r="U195" s="19"/>
      <c r="V195" s="22"/>
    </row>
    <row r="196" spans="1:22" ht="13.5" thickBot="1" x14ac:dyDescent="0.25">
      <c r="A196" s="160">
        <f t="shared" si="26"/>
        <v>188</v>
      </c>
      <c r="B196" s="17" t="s">
        <v>15</v>
      </c>
      <c r="C196" s="21">
        <f t="shared" si="31"/>
        <v>0</v>
      </c>
      <c r="D196" s="19">
        <f t="shared" si="31"/>
        <v>0</v>
      </c>
      <c r="E196" s="19">
        <f>I196+M196+Q196+U196</f>
        <v>0</v>
      </c>
      <c r="F196" s="20"/>
      <c r="G196" s="49">
        <f t="shared" si="29"/>
        <v>0</v>
      </c>
      <c r="H196" s="48"/>
      <c r="I196" s="48"/>
      <c r="J196" s="51"/>
      <c r="K196" s="21"/>
      <c r="L196" s="85"/>
      <c r="M196" s="85"/>
      <c r="N196" s="84"/>
      <c r="O196" s="87"/>
      <c r="P196" s="85"/>
      <c r="Q196" s="85"/>
      <c r="R196" s="84"/>
      <c r="S196" s="49">
        <f>T196+V196</f>
        <v>0</v>
      </c>
      <c r="T196" s="48"/>
      <c r="U196" s="48"/>
      <c r="V196" s="51"/>
    </row>
    <row r="197" spans="1:22" ht="45.75" thickBot="1" x14ac:dyDescent="0.3">
      <c r="A197" s="62">
        <v>189</v>
      </c>
      <c r="B197" s="63" t="s">
        <v>188</v>
      </c>
      <c r="C197" s="64">
        <f t="shared" si="31"/>
        <v>0</v>
      </c>
      <c r="D197" s="52">
        <f t="shared" si="31"/>
        <v>0</v>
      </c>
      <c r="E197" s="52"/>
      <c r="F197" s="57"/>
      <c r="G197" s="64">
        <f>G198+G200+G203+G206</f>
        <v>0</v>
      </c>
      <c r="H197" s="52">
        <f>H198+H200+H203+H206</f>
        <v>0</v>
      </c>
      <c r="I197" s="52"/>
      <c r="J197" s="57"/>
      <c r="K197" s="65">
        <f>K201</f>
        <v>0</v>
      </c>
      <c r="L197" s="52">
        <f>L201</f>
        <v>0</v>
      </c>
      <c r="M197" s="52"/>
      <c r="N197" s="57"/>
      <c r="O197" s="64"/>
      <c r="P197" s="52"/>
      <c r="Q197" s="52"/>
      <c r="R197" s="57"/>
      <c r="S197" s="52"/>
      <c r="T197" s="52"/>
      <c r="U197" s="52"/>
      <c r="V197" s="57"/>
    </row>
    <row r="198" spans="1:22" x14ac:dyDescent="0.2">
      <c r="A198" s="67">
        <v>190</v>
      </c>
      <c r="B198" s="81" t="s">
        <v>112</v>
      </c>
      <c r="C198" s="76">
        <f t="shared" si="31"/>
        <v>0</v>
      </c>
      <c r="D198" s="74">
        <f t="shared" si="31"/>
        <v>0</v>
      </c>
      <c r="E198" s="74"/>
      <c r="F198" s="77"/>
      <c r="G198" s="78">
        <f>G199</f>
        <v>0</v>
      </c>
      <c r="H198" s="74">
        <f>H199</f>
        <v>0</v>
      </c>
      <c r="I198" s="108"/>
      <c r="J198" s="100"/>
      <c r="K198" s="161"/>
      <c r="L198" s="108"/>
      <c r="M198" s="108"/>
      <c r="N198" s="162"/>
      <c r="O198" s="161"/>
      <c r="P198" s="108"/>
      <c r="Q198" s="108"/>
      <c r="R198" s="162"/>
      <c r="S198" s="161"/>
      <c r="T198" s="108"/>
      <c r="U198" s="108"/>
      <c r="V198" s="162"/>
    </row>
    <row r="199" spans="1:22" x14ac:dyDescent="0.2">
      <c r="A199" s="82">
        <f t="shared" si="26"/>
        <v>191</v>
      </c>
      <c r="B199" s="32" t="s">
        <v>189</v>
      </c>
      <c r="C199" s="12">
        <f t="shared" si="31"/>
        <v>0</v>
      </c>
      <c r="D199" s="85">
        <f t="shared" si="31"/>
        <v>0</v>
      </c>
      <c r="E199" s="85"/>
      <c r="F199" s="84"/>
      <c r="G199" s="91">
        <f t="shared" si="29"/>
        <v>0</v>
      </c>
      <c r="H199" s="86"/>
      <c r="I199" s="85"/>
      <c r="J199" s="86"/>
      <c r="K199" s="87"/>
      <c r="L199" s="85"/>
      <c r="M199" s="85"/>
      <c r="N199" s="84"/>
      <c r="O199" s="87"/>
      <c r="P199" s="85"/>
      <c r="Q199" s="85"/>
      <c r="R199" s="84"/>
      <c r="S199" s="87"/>
      <c r="T199" s="85"/>
      <c r="U199" s="85"/>
      <c r="V199" s="84"/>
    </row>
    <row r="200" spans="1:22" x14ac:dyDescent="0.2">
      <c r="A200" s="82">
        <f t="shared" si="26"/>
        <v>192</v>
      </c>
      <c r="B200" s="17" t="s">
        <v>190</v>
      </c>
      <c r="C200" s="21">
        <f t="shared" si="31"/>
        <v>0</v>
      </c>
      <c r="D200" s="19">
        <f t="shared" si="31"/>
        <v>0</v>
      </c>
      <c r="E200" s="19"/>
      <c r="F200" s="22"/>
      <c r="G200" s="88">
        <f>G202</f>
        <v>0</v>
      </c>
      <c r="H200" s="19">
        <f>H202</f>
        <v>0</v>
      </c>
      <c r="I200" s="85"/>
      <c r="J200" s="86"/>
      <c r="K200" s="27">
        <f>K201</f>
        <v>0</v>
      </c>
      <c r="L200" s="19">
        <f>L201</f>
        <v>0</v>
      </c>
      <c r="M200" s="85"/>
      <c r="N200" s="84"/>
      <c r="O200" s="87"/>
      <c r="P200" s="85"/>
      <c r="Q200" s="85"/>
      <c r="R200" s="84"/>
      <c r="S200" s="87"/>
      <c r="T200" s="85"/>
      <c r="U200" s="85"/>
      <c r="V200" s="84"/>
    </row>
    <row r="201" spans="1:22" x14ac:dyDescent="0.2">
      <c r="A201" s="82">
        <f t="shared" si="26"/>
        <v>193</v>
      </c>
      <c r="B201" s="32" t="s">
        <v>191</v>
      </c>
      <c r="C201" s="12">
        <f t="shared" si="31"/>
        <v>0</v>
      </c>
      <c r="D201" s="15">
        <f t="shared" si="31"/>
        <v>0</v>
      </c>
      <c r="E201" s="19"/>
      <c r="F201" s="22"/>
      <c r="G201" s="18"/>
      <c r="H201" s="88"/>
      <c r="I201" s="85"/>
      <c r="J201" s="86"/>
      <c r="K201" s="87">
        <f>L201+N201</f>
        <v>0</v>
      </c>
      <c r="L201" s="85"/>
      <c r="M201" s="85"/>
      <c r="N201" s="84"/>
      <c r="O201" s="87"/>
      <c r="P201" s="85"/>
      <c r="Q201" s="85"/>
      <c r="R201" s="84"/>
      <c r="S201" s="87"/>
      <c r="T201" s="85"/>
      <c r="U201" s="85"/>
      <c r="V201" s="84"/>
    </row>
    <row r="202" spans="1:22" x14ac:dyDescent="0.2">
      <c r="A202" s="82">
        <f t="shared" si="26"/>
        <v>194</v>
      </c>
      <c r="B202" s="32" t="s">
        <v>192</v>
      </c>
      <c r="C202" s="12">
        <f t="shared" si="31"/>
        <v>0</v>
      </c>
      <c r="D202" s="85">
        <f t="shared" si="31"/>
        <v>0</v>
      </c>
      <c r="E202" s="85"/>
      <c r="F202" s="84"/>
      <c r="G202" s="91">
        <f t="shared" si="29"/>
        <v>0</v>
      </c>
      <c r="H202" s="86"/>
      <c r="I202" s="85"/>
      <c r="J202" s="86"/>
      <c r="K202" s="87"/>
      <c r="L202" s="85"/>
      <c r="M202" s="85"/>
      <c r="N202" s="84"/>
      <c r="O202" s="87"/>
      <c r="P202" s="85"/>
      <c r="Q202" s="85"/>
      <c r="R202" s="84"/>
      <c r="S202" s="87"/>
      <c r="T202" s="85"/>
      <c r="U202" s="85"/>
      <c r="V202" s="84"/>
    </row>
    <row r="203" spans="1:22" x14ac:dyDescent="0.2">
      <c r="A203" s="82">
        <v>195</v>
      </c>
      <c r="B203" s="17" t="s">
        <v>115</v>
      </c>
      <c r="C203" s="21">
        <f t="shared" si="31"/>
        <v>0</v>
      </c>
      <c r="D203" s="19">
        <f t="shared" si="31"/>
        <v>0</v>
      </c>
      <c r="E203" s="19"/>
      <c r="F203" s="22"/>
      <c r="G203" s="88">
        <f t="shared" si="29"/>
        <v>0</v>
      </c>
      <c r="H203" s="19">
        <f>H204+H205</f>
        <v>0</v>
      </c>
      <c r="I203" s="85"/>
      <c r="J203" s="86"/>
      <c r="K203" s="87"/>
      <c r="L203" s="85"/>
      <c r="M203" s="85"/>
      <c r="N203" s="84"/>
      <c r="O203" s="87"/>
      <c r="P203" s="85"/>
      <c r="Q203" s="85"/>
      <c r="R203" s="84"/>
      <c r="S203" s="27"/>
      <c r="T203" s="19"/>
      <c r="U203" s="85"/>
      <c r="V203" s="84"/>
    </row>
    <row r="204" spans="1:22" ht="25.5" x14ac:dyDescent="0.2">
      <c r="A204" s="82">
        <f t="shared" si="26"/>
        <v>196</v>
      </c>
      <c r="B204" s="95" t="s">
        <v>193</v>
      </c>
      <c r="C204" s="12">
        <f t="shared" si="31"/>
        <v>0</v>
      </c>
      <c r="D204" s="15">
        <f t="shared" si="31"/>
        <v>0</v>
      </c>
      <c r="E204" s="42"/>
      <c r="F204" s="43"/>
      <c r="G204" s="10">
        <f t="shared" si="29"/>
        <v>0</v>
      </c>
      <c r="H204" s="163"/>
      <c r="I204" s="132"/>
      <c r="J204" s="151"/>
      <c r="K204" s="131"/>
      <c r="L204" s="132"/>
      <c r="M204" s="132"/>
      <c r="N204" s="133"/>
      <c r="O204" s="131"/>
      <c r="P204" s="132"/>
      <c r="Q204" s="132"/>
      <c r="R204" s="133"/>
      <c r="S204" s="131"/>
      <c r="T204" s="132"/>
      <c r="U204" s="132"/>
      <c r="V204" s="133"/>
    </row>
    <row r="205" spans="1:22" x14ac:dyDescent="0.2">
      <c r="A205" s="82">
        <f t="shared" si="26"/>
        <v>197</v>
      </c>
      <c r="B205" s="17" t="s">
        <v>194</v>
      </c>
      <c r="C205" s="12">
        <f t="shared" si="31"/>
        <v>0</v>
      </c>
      <c r="D205" s="15">
        <f t="shared" si="31"/>
        <v>0</v>
      </c>
      <c r="E205" s="36"/>
      <c r="F205" s="39"/>
      <c r="G205" s="91">
        <f t="shared" si="29"/>
        <v>0</v>
      </c>
      <c r="H205" s="42"/>
      <c r="I205" s="132"/>
      <c r="J205" s="151"/>
      <c r="K205" s="131"/>
      <c r="L205" s="132"/>
      <c r="M205" s="132"/>
      <c r="N205" s="133"/>
      <c r="O205" s="131"/>
      <c r="P205" s="132"/>
      <c r="Q205" s="132"/>
      <c r="R205" s="133"/>
      <c r="S205" s="15"/>
      <c r="T205" s="132"/>
      <c r="U205" s="132"/>
      <c r="V205" s="133"/>
    </row>
    <row r="206" spans="1:22" x14ac:dyDescent="0.2">
      <c r="A206" s="82">
        <v>198</v>
      </c>
      <c r="B206" s="17" t="s">
        <v>33</v>
      </c>
      <c r="C206" s="21">
        <f t="shared" si="31"/>
        <v>0</v>
      </c>
      <c r="D206" s="19">
        <f t="shared" si="31"/>
        <v>0</v>
      </c>
      <c r="E206" s="36"/>
      <c r="F206" s="39"/>
      <c r="G206" s="18">
        <f t="shared" si="29"/>
        <v>0</v>
      </c>
      <c r="H206" s="36">
        <f>H207</f>
        <v>0</v>
      </c>
      <c r="I206" s="132"/>
      <c r="J206" s="164"/>
      <c r="K206" s="165"/>
      <c r="L206" s="132"/>
      <c r="M206" s="132"/>
      <c r="N206" s="166"/>
      <c r="O206" s="131"/>
      <c r="P206" s="132"/>
      <c r="Q206" s="132"/>
      <c r="R206" s="166"/>
      <c r="S206" s="165"/>
      <c r="T206" s="132"/>
      <c r="U206" s="132"/>
      <c r="V206" s="166"/>
    </row>
    <row r="207" spans="1:22" ht="13.5" thickBot="1" x14ac:dyDescent="0.25">
      <c r="A207" s="111">
        <v>199</v>
      </c>
      <c r="B207" s="127" t="s">
        <v>195</v>
      </c>
      <c r="C207" s="41">
        <f t="shared" si="31"/>
        <v>0</v>
      </c>
      <c r="D207" s="42">
        <f t="shared" si="31"/>
        <v>0</v>
      </c>
      <c r="E207" s="36"/>
      <c r="F207" s="39"/>
      <c r="G207" s="150">
        <f t="shared" si="29"/>
        <v>0</v>
      </c>
      <c r="H207" s="42"/>
      <c r="I207" s="132"/>
      <c r="J207" s="164"/>
      <c r="K207" s="165"/>
      <c r="L207" s="132"/>
      <c r="M207" s="132"/>
      <c r="N207" s="166"/>
      <c r="O207" s="131"/>
      <c r="P207" s="132"/>
      <c r="Q207" s="132"/>
      <c r="R207" s="166"/>
      <c r="S207" s="165"/>
      <c r="T207" s="132"/>
      <c r="U207" s="132"/>
      <c r="V207" s="166"/>
    </row>
    <row r="208" spans="1:22" ht="13.5" thickBot="1" x14ac:dyDescent="0.25">
      <c r="A208" s="62">
        <v>200</v>
      </c>
      <c r="B208" s="167" t="s">
        <v>196</v>
      </c>
      <c r="C208" s="117">
        <f t="shared" si="31"/>
        <v>12693.383999999998</v>
      </c>
      <c r="D208" s="118">
        <f t="shared" si="31"/>
        <v>12681.564999999999</v>
      </c>
      <c r="E208" s="52">
        <f>I208+M208+Q208+U208</f>
        <v>8236.3879999999972</v>
      </c>
      <c r="F208" s="53">
        <f>J208+N208+R208+V208</f>
        <v>11.819000000000001</v>
      </c>
      <c r="G208" s="118">
        <f>G9+G44+G99+G140+G175+G197</f>
        <v>5817.7960000000003</v>
      </c>
      <c r="H208" s="118">
        <f>H9+H44+H99+H140+H175+H197</f>
        <v>5807.9770000000008</v>
      </c>
      <c r="I208" s="52">
        <f>I9+I44+I99+I140+I175+I197</f>
        <v>3611.0589999999993</v>
      </c>
      <c r="J208" s="118">
        <f>J9+J44+J99+J140+J175+J197</f>
        <v>9.8190000000000008</v>
      </c>
      <c r="K208" s="56">
        <f>K9+K44+K99+K140+K175+K197</f>
        <v>239.86199999999997</v>
      </c>
      <c r="L208" s="52">
        <f>L9+L44+L140+L175+L197</f>
        <v>239.86199999999997</v>
      </c>
      <c r="M208" s="52">
        <f>M9+M44+M140+M175+M197</f>
        <v>82.593000000000004</v>
      </c>
      <c r="N208" s="66">
        <f>N9+N44+N99+N140+N175+N197</f>
        <v>0</v>
      </c>
      <c r="O208" s="64">
        <f>O9+O44+O99+O140+O175+O197</f>
        <v>6048.3999999999978</v>
      </c>
      <c r="P208" s="52">
        <f>P9+P44+P99+P140+P175+P197</f>
        <v>6048.3999999999978</v>
      </c>
      <c r="Q208" s="52">
        <f>Q9+Q44+Q99+Q140+Q175+Q197</f>
        <v>4518.9329999999982</v>
      </c>
      <c r="R208" s="52"/>
      <c r="S208" s="58">
        <f>S9+S44+S99+S140+S175+S197</f>
        <v>587.32600000000002</v>
      </c>
      <c r="T208" s="118">
        <f>T9+T44+T99+T140+T175+T197</f>
        <v>585.32600000000002</v>
      </c>
      <c r="U208" s="118">
        <f>U9+U44+U99+U140+U175+U197</f>
        <v>23.803000000000004</v>
      </c>
      <c r="V208" s="57">
        <f>V9+V20+SUM(V34:V43)+V44+V99+V140+V175+V197</f>
        <v>2</v>
      </c>
    </row>
    <row r="211" spans="2:2" x14ac:dyDescent="0.2">
      <c r="B211" s="5" t="s">
        <v>95</v>
      </c>
    </row>
    <row r="212" spans="2:2" x14ac:dyDescent="0.2">
      <c r="B212" s="5" t="s">
        <v>201</v>
      </c>
    </row>
    <row r="213" spans="2:2" x14ac:dyDescent="0.2">
      <c r="B213" s="5" t="s">
        <v>197</v>
      </c>
    </row>
    <row r="214" spans="2:2" x14ac:dyDescent="0.2">
      <c r="B214" s="5" t="s">
        <v>96</v>
      </c>
    </row>
  </sheetData>
  <mergeCells count="24">
    <mergeCell ref="A6:A8"/>
    <mergeCell ref="B6:B8"/>
    <mergeCell ref="C6:C8"/>
    <mergeCell ref="D6:F6"/>
    <mergeCell ref="G6:G8"/>
    <mergeCell ref="S6:S8"/>
    <mergeCell ref="T6:V6"/>
    <mergeCell ref="T7:U7"/>
    <mergeCell ref="V7:V8"/>
    <mergeCell ref="N7:N8"/>
    <mergeCell ref="P7:Q7"/>
    <mergeCell ref="R7:R8"/>
    <mergeCell ref="O6:O8"/>
    <mergeCell ref="P6:R6"/>
    <mergeCell ref="C3:J3"/>
    <mergeCell ref="C4:I4"/>
    <mergeCell ref="H7:I7"/>
    <mergeCell ref="J7:J8"/>
    <mergeCell ref="L7:M7"/>
    <mergeCell ref="K6:K8"/>
    <mergeCell ref="L6:N6"/>
    <mergeCell ref="H6:J6"/>
    <mergeCell ref="D7:E7"/>
    <mergeCell ref="F7:F8"/>
  </mergeCells>
  <pageMargins left="0.35433070866141736" right="0" top="0.78740157480314965" bottom="0.19685039370078741" header="0.51181102362204722" footer="0.51181102362204722"/>
  <pageSetup paperSize="9" scale="6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1F146-1AD5-47C1-B1AB-D4D06120E7BA}">
  <dimension ref="A2:F64"/>
  <sheetViews>
    <sheetView workbookViewId="0">
      <selection activeCell="C6" sqref="C6"/>
    </sheetView>
  </sheetViews>
  <sheetFormatPr defaultRowHeight="12.75" x14ac:dyDescent="0.2"/>
  <cols>
    <col min="1" max="1" width="3.7109375" customWidth="1"/>
    <col min="2" max="2" width="33.7109375" customWidth="1"/>
    <col min="3" max="3" width="15" customWidth="1"/>
    <col min="4" max="4" width="14" customWidth="1"/>
  </cols>
  <sheetData>
    <row r="2" spans="1:6" ht="15" x14ac:dyDescent="0.25">
      <c r="A2" s="168"/>
      <c r="B2" s="168"/>
      <c r="C2" s="399" t="s">
        <v>695</v>
      </c>
      <c r="D2" s="399"/>
      <c r="E2" s="188"/>
      <c r="F2" s="168"/>
    </row>
    <row r="3" spans="1:6" ht="15" x14ac:dyDescent="0.25">
      <c r="A3" s="168"/>
      <c r="B3" s="168"/>
      <c r="C3" s="399" t="s">
        <v>664</v>
      </c>
      <c r="D3" s="399"/>
      <c r="E3" s="188"/>
      <c r="F3" s="168"/>
    </row>
    <row r="4" spans="1:6" ht="15" x14ac:dyDescent="0.25">
      <c r="A4" s="168"/>
      <c r="B4" s="168"/>
      <c r="C4" s="399" t="s">
        <v>696</v>
      </c>
      <c r="D4" s="399"/>
      <c r="E4" s="188"/>
      <c r="F4" s="168"/>
    </row>
    <row r="5" spans="1:6" ht="15" x14ac:dyDescent="0.25">
      <c r="A5" s="168"/>
      <c r="B5" s="168"/>
      <c r="C5" s="399" t="s">
        <v>697</v>
      </c>
      <c r="D5" s="399"/>
      <c r="E5" s="188"/>
      <c r="F5" s="168"/>
    </row>
    <row r="6" spans="1:6" ht="15" x14ac:dyDescent="0.25">
      <c r="A6" s="168"/>
      <c r="B6" s="168"/>
      <c r="C6" s="399" t="s">
        <v>763</v>
      </c>
      <c r="D6" s="399"/>
      <c r="E6" s="188"/>
      <c r="F6" s="168"/>
    </row>
    <row r="7" spans="1:6" ht="15" x14ac:dyDescent="0.25">
      <c r="A7" s="168"/>
      <c r="B7" s="168"/>
      <c r="C7" s="399" t="s">
        <v>667</v>
      </c>
      <c r="D7" s="399"/>
      <c r="E7" s="188"/>
      <c r="F7" s="188"/>
    </row>
    <row r="8" spans="1:6" x14ac:dyDescent="0.2">
      <c r="A8" s="168"/>
      <c r="B8" s="168"/>
      <c r="C8" s="168"/>
      <c r="D8" s="168"/>
      <c r="E8" s="168"/>
      <c r="F8" s="168"/>
    </row>
    <row r="9" spans="1:6" ht="15.75" x14ac:dyDescent="0.25">
      <c r="A9" s="400" t="s">
        <v>698</v>
      </c>
      <c r="B9" s="401"/>
      <c r="C9" s="1"/>
      <c r="D9" s="1"/>
      <c r="E9" s="1"/>
      <c r="F9" s="168"/>
    </row>
    <row r="10" spans="1:6" ht="15.75" x14ac:dyDescent="0.25">
      <c r="A10" s="400" t="s">
        <v>699</v>
      </c>
      <c r="B10" s="401"/>
      <c r="C10" s="1"/>
      <c r="D10" s="1"/>
      <c r="E10" s="1"/>
      <c r="F10" s="168"/>
    </row>
    <row r="11" spans="1:6" x14ac:dyDescent="0.2">
      <c r="A11" s="168"/>
      <c r="B11" s="168"/>
      <c r="C11" s="168"/>
      <c r="D11" s="168"/>
      <c r="E11" s="168"/>
      <c r="F11" s="168"/>
    </row>
    <row r="12" spans="1:6" ht="13.5" thickBot="1" x14ac:dyDescent="0.25">
      <c r="A12" s="168"/>
      <c r="B12" s="168"/>
      <c r="C12" s="168"/>
      <c r="D12" s="168"/>
      <c r="E12" s="168"/>
      <c r="F12" s="168" t="s">
        <v>585</v>
      </c>
    </row>
    <row r="13" spans="1:6" ht="13.5" thickBot="1" x14ac:dyDescent="0.25">
      <c r="A13" s="900" t="s">
        <v>700</v>
      </c>
      <c r="B13" s="903" t="s">
        <v>701</v>
      </c>
      <c r="C13" s="402" t="s">
        <v>702</v>
      </c>
      <c r="D13" s="403"/>
      <c r="E13" s="404"/>
      <c r="F13" s="405"/>
    </row>
    <row r="14" spans="1:6" x14ac:dyDescent="0.2">
      <c r="A14" s="901"/>
      <c r="B14" s="904"/>
      <c r="C14" s="906" t="s">
        <v>40</v>
      </c>
      <c r="D14" s="908" t="s">
        <v>703</v>
      </c>
      <c r="E14" s="908"/>
      <c r="F14" s="909"/>
    </row>
    <row r="15" spans="1:6" ht="51.75" thickBot="1" x14ac:dyDescent="0.25">
      <c r="A15" s="902"/>
      <c r="B15" s="905"/>
      <c r="C15" s="907"/>
      <c r="D15" s="406" t="s">
        <v>704</v>
      </c>
      <c r="E15" s="407" t="s">
        <v>705</v>
      </c>
      <c r="F15" s="408" t="s">
        <v>706</v>
      </c>
    </row>
    <row r="16" spans="1:6" ht="15" x14ac:dyDescent="0.25">
      <c r="A16" s="800">
        <v>1</v>
      </c>
      <c r="B16" s="801" t="s">
        <v>707</v>
      </c>
      <c r="C16" s="802">
        <f>D16+E16+F16</f>
        <v>50</v>
      </c>
      <c r="D16" s="803"/>
      <c r="E16" s="804">
        <v>50</v>
      </c>
      <c r="F16" s="805"/>
    </row>
    <row r="17" spans="1:6" ht="15" x14ac:dyDescent="0.25">
      <c r="A17" s="806">
        <f>A16+1</f>
        <v>2</v>
      </c>
      <c r="B17" s="807" t="s">
        <v>3</v>
      </c>
      <c r="C17" s="802">
        <f t="shared" ref="C17:C61" si="0">D17+E17+F17</f>
        <v>70.8</v>
      </c>
      <c r="D17" s="808"/>
      <c r="E17" s="809">
        <v>3</v>
      </c>
      <c r="F17" s="810">
        <f>42.8+25</f>
        <v>67.8</v>
      </c>
    </row>
    <row r="18" spans="1:6" ht="15" x14ac:dyDescent="0.25">
      <c r="A18" s="806">
        <f t="shared" ref="A18:A62" si="1">A17+1</f>
        <v>3</v>
      </c>
      <c r="B18" s="807" t="s">
        <v>4</v>
      </c>
      <c r="C18" s="802">
        <f t="shared" si="0"/>
        <v>74</v>
      </c>
      <c r="D18" s="808"/>
      <c r="E18" s="809"/>
      <c r="F18" s="810">
        <v>74</v>
      </c>
    </row>
    <row r="19" spans="1:6" ht="15" x14ac:dyDescent="0.25">
      <c r="A19" s="806">
        <f t="shared" si="1"/>
        <v>4</v>
      </c>
      <c r="B19" s="811" t="s">
        <v>613</v>
      </c>
      <c r="C19" s="812">
        <f t="shared" si="0"/>
        <v>18</v>
      </c>
      <c r="D19" s="808"/>
      <c r="E19" s="809"/>
      <c r="F19" s="810">
        <v>18</v>
      </c>
    </row>
    <row r="20" spans="1:6" ht="15" x14ac:dyDescent="0.25">
      <c r="A20" s="806">
        <f t="shared" si="1"/>
        <v>5</v>
      </c>
      <c r="B20" s="807" t="s">
        <v>708</v>
      </c>
      <c r="C20" s="802">
        <f t="shared" si="0"/>
        <v>4.1000000000000005</v>
      </c>
      <c r="D20" s="808"/>
      <c r="E20" s="809">
        <v>0.4</v>
      </c>
      <c r="F20" s="810">
        <v>3.7</v>
      </c>
    </row>
    <row r="21" spans="1:6" ht="15" x14ac:dyDescent="0.25">
      <c r="A21" s="806">
        <f t="shared" si="1"/>
        <v>6</v>
      </c>
      <c r="B21" s="807" t="s">
        <v>5</v>
      </c>
      <c r="C21" s="802">
        <f t="shared" si="0"/>
        <v>24</v>
      </c>
      <c r="D21" s="808">
        <v>18</v>
      </c>
      <c r="E21" s="809"/>
      <c r="F21" s="810">
        <v>6</v>
      </c>
    </row>
    <row r="22" spans="1:6" ht="15" x14ac:dyDescent="0.25">
      <c r="A22" s="806">
        <f t="shared" si="1"/>
        <v>7</v>
      </c>
      <c r="B22" s="807" t="s">
        <v>25</v>
      </c>
      <c r="C22" s="802">
        <f t="shared" si="0"/>
        <v>140.94844000000001</v>
      </c>
      <c r="D22" s="808">
        <f>175.133-34.18456</f>
        <v>140.94844000000001</v>
      </c>
      <c r="E22" s="809"/>
      <c r="F22" s="810"/>
    </row>
    <row r="23" spans="1:6" ht="15" x14ac:dyDescent="0.25">
      <c r="A23" s="806">
        <f t="shared" si="1"/>
        <v>8</v>
      </c>
      <c r="B23" s="807" t="s">
        <v>6</v>
      </c>
      <c r="C23" s="802">
        <f t="shared" si="0"/>
        <v>209.94</v>
      </c>
      <c r="D23" s="813"/>
      <c r="E23" s="814"/>
      <c r="F23" s="810">
        <v>209.94</v>
      </c>
    </row>
    <row r="24" spans="1:6" ht="15" x14ac:dyDescent="0.25">
      <c r="A24" s="806">
        <f t="shared" si="1"/>
        <v>9</v>
      </c>
      <c r="B24" s="807" t="s">
        <v>7</v>
      </c>
      <c r="C24" s="802">
        <f t="shared" si="0"/>
        <v>0.7</v>
      </c>
      <c r="D24" s="808"/>
      <c r="E24" s="809">
        <v>0.4</v>
      </c>
      <c r="F24" s="810">
        <v>0.3</v>
      </c>
    </row>
    <row r="25" spans="1:6" ht="15" x14ac:dyDescent="0.25">
      <c r="A25" s="806">
        <f t="shared" si="1"/>
        <v>10</v>
      </c>
      <c r="B25" s="807" t="s">
        <v>8</v>
      </c>
      <c r="C25" s="802">
        <f t="shared" si="0"/>
        <v>3.5</v>
      </c>
      <c r="D25" s="808"/>
      <c r="E25" s="809">
        <v>1.3</v>
      </c>
      <c r="F25" s="810">
        <v>2.2000000000000002</v>
      </c>
    </row>
    <row r="26" spans="1:6" ht="15" x14ac:dyDescent="0.25">
      <c r="A26" s="806">
        <f t="shared" si="1"/>
        <v>11</v>
      </c>
      <c r="B26" s="807" t="s">
        <v>9</v>
      </c>
      <c r="C26" s="802">
        <f t="shared" si="0"/>
        <v>4</v>
      </c>
      <c r="D26" s="808"/>
      <c r="E26" s="809">
        <v>3</v>
      </c>
      <c r="F26" s="810">
        <v>1</v>
      </c>
    </row>
    <row r="27" spans="1:6" ht="15" x14ac:dyDescent="0.25">
      <c r="A27" s="806">
        <f t="shared" si="1"/>
        <v>12</v>
      </c>
      <c r="B27" s="807" t="s">
        <v>11</v>
      </c>
      <c r="C27" s="802">
        <f t="shared" si="0"/>
        <v>3.12</v>
      </c>
      <c r="D27" s="808"/>
      <c r="E27" s="809">
        <v>3.12</v>
      </c>
      <c r="F27" s="810"/>
    </row>
    <row r="28" spans="1:6" ht="15" x14ac:dyDescent="0.25">
      <c r="A28" s="806">
        <f t="shared" si="1"/>
        <v>13</v>
      </c>
      <c r="B28" s="807" t="s">
        <v>12</v>
      </c>
      <c r="C28" s="802">
        <f t="shared" si="0"/>
        <v>0.5</v>
      </c>
      <c r="D28" s="808"/>
      <c r="E28" s="809">
        <v>0.5</v>
      </c>
      <c r="F28" s="810"/>
    </row>
    <row r="29" spans="1:6" ht="15" x14ac:dyDescent="0.25">
      <c r="A29" s="806">
        <f t="shared" si="1"/>
        <v>14</v>
      </c>
      <c r="B29" s="807" t="s">
        <v>13</v>
      </c>
      <c r="C29" s="802">
        <f t="shared" si="0"/>
        <v>0.5</v>
      </c>
      <c r="D29" s="808"/>
      <c r="E29" s="809">
        <v>0.5</v>
      </c>
      <c r="F29" s="810"/>
    </row>
    <row r="30" spans="1:6" ht="15" x14ac:dyDescent="0.25">
      <c r="A30" s="806">
        <f t="shared" si="1"/>
        <v>15</v>
      </c>
      <c r="B30" s="807" t="s">
        <v>14</v>
      </c>
      <c r="C30" s="802">
        <f t="shared" si="0"/>
        <v>0.55200000000000005</v>
      </c>
      <c r="D30" s="808"/>
      <c r="E30" s="809">
        <v>0.55200000000000005</v>
      </c>
      <c r="F30" s="810"/>
    </row>
    <row r="31" spans="1:6" ht="15" x14ac:dyDescent="0.25">
      <c r="A31" s="806">
        <f t="shared" si="1"/>
        <v>16</v>
      </c>
      <c r="B31" s="807" t="s">
        <v>709</v>
      </c>
      <c r="C31" s="802">
        <f t="shared" si="0"/>
        <v>1.58</v>
      </c>
      <c r="D31" s="808"/>
      <c r="E31" s="809">
        <v>1.58</v>
      </c>
      <c r="F31" s="810"/>
    </row>
    <row r="32" spans="1:6" ht="15" x14ac:dyDescent="0.25">
      <c r="A32" s="806">
        <f t="shared" si="1"/>
        <v>17</v>
      </c>
      <c r="B32" s="807" t="s">
        <v>15</v>
      </c>
      <c r="C32" s="802">
        <f t="shared" si="0"/>
        <v>1.968</v>
      </c>
      <c r="D32" s="808"/>
      <c r="E32" s="809">
        <v>1.968</v>
      </c>
      <c r="F32" s="810"/>
    </row>
    <row r="33" spans="1:6" ht="15" x14ac:dyDescent="0.25">
      <c r="A33" s="806">
        <f t="shared" si="1"/>
        <v>18</v>
      </c>
      <c r="B33" s="807" t="s">
        <v>212</v>
      </c>
      <c r="C33" s="802">
        <f>D33+E33+F33</f>
        <v>250</v>
      </c>
      <c r="D33" s="188"/>
      <c r="E33" s="809">
        <v>5.484</v>
      </c>
      <c r="F33" s="810">
        <v>244.51599999999999</v>
      </c>
    </row>
    <row r="34" spans="1:6" ht="15" x14ac:dyDescent="0.25">
      <c r="A34" s="806">
        <f t="shared" si="1"/>
        <v>19</v>
      </c>
      <c r="B34" s="807" t="s">
        <v>228</v>
      </c>
      <c r="C34" s="802">
        <f t="shared" si="0"/>
        <v>10.431960000000004</v>
      </c>
      <c r="D34" s="808"/>
      <c r="E34" s="809"/>
      <c r="F34" s="810">
        <f>48.38-37.94804</f>
        <v>10.431960000000004</v>
      </c>
    </row>
    <row r="35" spans="1:6" ht="15" x14ac:dyDescent="0.25">
      <c r="A35" s="806">
        <v>20</v>
      </c>
      <c r="B35" s="807" t="s">
        <v>694</v>
      </c>
      <c r="C35" s="857">
        <f t="shared" si="0"/>
        <v>72.132599999999996</v>
      </c>
      <c r="D35" s="858">
        <v>72.132599999999996</v>
      </c>
      <c r="E35" s="809"/>
      <c r="F35" s="810"/>
    </row>
    <row r="36" spans="1:6" ht="15" x14ac:dyDescent="0.25">
      <c r="A36" s="806">
        <v>21</v>
      </c>
      <c r="B36" s="807" t="s">
        <v>245</v>
      </c>
      <c r="C36" s="802">
        <f t="shared" si="0"/>
        <v>30</v>
      </c>
      <c r="D36" s="808">
        <v>26.55</v>
      </c>
      <c r="E36" s="809"/>
      <c r="F36" s="810">
        <v>3.45</v>
      </c>
    </row>
    <row r="37" spans="1:6" ht="15" x14ac:dyDescent="0.25">
      <c r="A37" s="806">
        <f t="shared" si="1"/>
        <v>22</v>
      </c>
      <c r="B37" s="807" t="s">
        <v>246</v>
      </c>
      <c r="C37" s="802">
        <f t="shared" si="0"/>
        <v>55.027999999999999</v>
      </c>
      <c r="D37" s="808">
        <v>54.527999999999999</v>
      </c>
      <c r="E37" s="809"/>
      <c r="F37" s="810">
        <v>0.5</v>
      </c>
    </row>
    <row r="38" spans="1:6" ht="15" x14ac:dyDescent="0.25">
      <c r="A38" s="806">
        <f t="shared" si="1"/>
        <v>23</v>
      </c>
      <c r="B38" s="807" t="s">
        <v>247</v>
      </c>
      <c r="C38" s="802">
        <f t="shared" si="0"/>
        <v>17.5</v>
      </c>
      <c r="D38" s="808">
        <v>16.5</v>
      </c>
      <c r="E38" s="809"/>
      <c r="F38" s="810">
        <v>1</v>
      </c>
    </row>
    <row r="39" spans="1:6" ht="15" x14ac:dyDescent="0.25">
      <c r="A39" s="806">
        <f t="shared" si="1"/>
        <v>24</v>
      </c>
      <c r="B39" s="807" t="s">
        <v>248</v>
      </c>
      <c r="C39" s="802">
        <f t="shared" si="0"/>
        <v>50</v>
      </c>
      <c r="D39" s="808">
        <v>36</v>
      </c>
      <c r="E39" s="809"/>
      <c r="F39" s="810">
        <v>14</v>
      </c>
    </row>
    <row r="40" spans="1:6" ht="15" x14ac:dyDescent="0.25">
      <c r="A40" s="806">
        <f t="shared" si="1"/>
        <v>25</v>
      </c>
      <c r="B40" s="807" t="s">
        <v>249</v>
      </c>
      <c r="C40" s="802">
        <f t="shared" si="0"/>
        <v>16.3</v>
      </c>
      <c r="D40" s="808">
        <v>10</v>
      </c>
      <c r="E40" s="809"/>
      <c r="F40" s="810">
        <v>6.3</v>
      </c>
    </row>
    <row r="41" spans="1:6" ht="15" x14ac:dyDescent="0.25">
      <c r="A41" s="806">
        <f t="shared" si="1"/>
        <v>26</v>
      </c>
      <c r="B41" s="807" t="s">
        <v>250</v>
      </c>
      <c r="C41" s="802">
        <f t="shared" si="0"/>
        <v>67.400000000000006</v>
      </c>
      <c r="D41" s="808">
        <v>67.400000000000006</v>
      </c>
      <c r="E41" s="809"/>
      <c r="F41" s="810"/>
    </row>
    <row r="42" spans="1:6" ht="15" x14ac:dyDescent="0.25">
      <c r="A42" s="806">
        <f t="shared" si="1"/>
        <v>27</v>
      </c>
      <c r="B42" s="807" t="s">
        <v>17</v>
      </c>
      <c r="C42" s="802">
        <f t="shared" si="0"/>
        <v>20.8</v>
      </c>
      <c r="D42" s="808"/>
      <c r="E42" s="809">
        <v>2.8</v>
      </c>
      <c r="F42" s="810">
        <v>18</v>
      </c>
    </row>
    <row r="43" spans="1:6" ht="42.75" customHeight="1" x14ac:dyDescent="0.25">
      <c r="A43" s="806">
        <f t="shared" si="1"/>
        <v>28</v>
      </c>
      <c r="B43" s="815" t="s">
        <v>710</v>
      </c>
      <c r="C43" s="802">
        <f t="shared" si="0"/>
        <v>8.3000000000000007</v>
      </c>
      <c r="D43" s="808">
        <v>8.3000000000000007</v>
      </c>
      <c r="E43" s="809"/>
      <c r="F43" s="810"/>
    </row>
    <row r="44" spans="1:6" ht="15" x14ac:dyDescent="0.25">
      <c r="A44" s="806">
        <f t="shared" si="1"/>
        <v>29</v>
      </c>
      <c r="B44" s="807" t="s">
        <v>253</v>
      </c>
      <c r="C44" s="802">
        <f t="shared" si="0"/>
        <v>87</v>
      </c>
      <c r="D44" s="808"/>
      <c r="E44" s="809"/>
      <c r="F44" s="810">
        <v>87</v>
      </c>
    </row>
    <row r="45" spans="1:6" ht="15" x14ac:dyDescent="0.25">
      <c r="A45" s="806">
        <f t="shared" si="1"/>
        <v>30</v>
      </c>
      <c r="B45" s="807" t="s">
        <v>90</v>
      </c>
      <c r="C45" s="802">
        <f t="shared" si="0"/>
        <v>39</v>
      </c>
      <c r="D45" s="808"/>
      <c r="E45" s="809"/>
      <c r="F45" s="810">
        <v>39</v>
      </c>
    </row>
    <row r="46" spans="1:6" ht="15" x14ac:dyDescent="0.25">
      <c r="A46" s="806">
        <f t="shared" si="1"/>
        <v>31</v>
      </c>
      <c r="B46" s="807" t="s">
        <v>19</v>
      </c>
      <c r="C46" s="802">
        <f t="shared" si="0"/>
        <v>25</v>
      </c>
      <c r="D46" s="808"/>
      <c r="E46" s="809"/>
      <c r="F46" s="810">
        <v>25</v>
      </c>
    </row>
    <row r="47" spans="1:6" ht="15" x14ac:dyDescent="0.25">
      <c r="A47" s="806">
        <f t="shared" si="1"/>
        <v>32</v>
      </c>
      <c r="B47" s="807" t="s">
        <v>711</v>
      </c>
      <c r="C47" s="802">
        <f t="shared" si="0"/>
        <v>7</v>
      </c>
      <c r="D47" s="808">
        <v>7</v>
      </c>
      <c r="E47" s="809"/>
      <c r="F47" s="810"/>
    </row>
    <row r="48" spans="1:6" ht="15" x14ac:dyDescent="0.25">
      <c r="A48" s="806">
        <f t="shared" si="1"/>
        <v>33</v>
      </c>
      <c r="B48" s="807" t="s">
        <v>255</v>
      </c>
      <c r="C48" s="802">
        <f t="shared" si="0"/>
        <v>23</v>
      </c>
      <c r="D48" s="808"/>
      <c r="E48" s="809"/>
      <c r="F48" s="810">
        <v>23</v>
      </c>
    </row>
    <row r="49" spans="1:6" ht="15" x14ac:dyDescent="0.25">
      <c r="A49" s="806">
        <f t="shared" si="1"/>
        <v>34</v>
      </c>
      <c r="B49" s="807" t="s">
        <v>712</v>
      </c>
      <c r="C49" s="802">
        <f t="shared" si="0"/>
        <v>16</v>
      </c>
      <c r="D49" s="808">
        <v>16</v>
      </c>
      <c r="E49" s="809"/>
      <c r="F49" s="810"/>
    </row>
    <row r="50" spans="1:6" ht="15" x14ac:dyDescent="0.25">
      <c r="A50" s="806">
        <f t="shared" si="1"/>
        <v>35</v>
      </c>
      <c r="B50" s="807" t="s">
        <v>713</v>
      </c>
      <c r="C50" s="802">
        <f t="shared" si="0"/>
        <v>4.5</v>
      </c>
      <c r="D50" s="808">
        <v>4.5</v>
      </c>
      <c r="E50" s="809"/>
      <c r="F50" s="810"/>
    </row>
    <row r="51" spans="1:6" ht="15" x14ac:dyDescent="0.25">
      <c r="A51" s="806">
        <f t="shared" si="1"/>
        <v>36</v>
      </c>
      <c r="B51" s="807" t="s">
        <v>21</v>
      </c>
      <c r="C51" s="802">
        <f t="shared" si="0"/>
        <v>21</v>
      </c>
      <c r="D51" s="808"/>
      <c r="E51" s="809"/>
      <c r="F51" s="810">
        <v>21</v>
      </c>
    </row>
    <row r="52" spans="1:6" ht="15" x14ac:dyDescent="0.25">
      <c r="A52" s="806">
        <f t="shared" si="1"/>
        <v>37</v>
      </c>
      <c r="B52" s="807" t="s">
        <v>714</v>
      </c>
      <c r="C52" s="802">
        <f t="shared" si="0"/>
        <v>14.4</v>
      </c>
      <c r="D52" s="808">
        <v>13.3</v>
      </c>
      <c r="E52" s="809"/>
      <c r="F52" s="810">
        <v>1.1000000000000001</v>
      </c>
    </row>
    <row r="53" spans="1:6" ht="15" x14ac:dyDescent="0.25">
      <c r="A53" s="806">
        <f t="shared" si="1"/>
        <v>38</v>
      </c>
      <c r="B53" s="807" t="s">
        <v>715</v>
      </c>
      <c r="C53" s="802">
        <f t="shared" si="0"/>
        <v>2.6</v>
      </c>
      <c r="D53" s="808">
        <v>2.6</v>
      </c>
      <c r="E53" s="809"/>
      <c r="F53" s="810"/>
    </row>
    <row r="54" spans="1:6" ht="15" x14ac:dyDescent="0.25">
      <c r="A54" s="806">
        <f t="shared" si="1"/>
        <v>39</v>
      </c>
      <c r="B54" s="807" t="s">
        <v>657</v>
      </c>
      <c r="C54" s="802">
        <f t="shared" si="0"/>
        <v>19</v>
      </c>
      <c r="D54" s="808">
        <v>0.9</v>
      </c>
      <c r="E54" s="809"/>
      <c r="F54" s="810">
        <v>18.100000000000001</v>
      </c>
    </row>
    <row r="55" spans="1:6" ht="15" x14ac:dyDescent="0.25">
      <c r="A55" s="806">
        <f t="shared" si="1"/>
        <v>40</v>
      </c>
      <c r="B55" s="807" t="s">
        <v>32</v>
      </c>
      <c r="C55" s="802">
        <f t="shared" si="0"/>
        <v>7.1</v>
      </c>
      <c r="D55" s="808"/>
      <c r="E55" s="809"/>
      <c r="F55" s="810">
        <v>7.1</v>
      </c>
    </row>
    <row r="56" spans="1:6" ht="15" x14ac:dyDescent="0.25">
      <c r="A56" s="806">
        <f t="shared" si="1"/>
        <v>41</v>
      </c>
      <c r="B56" s="807" t="s">
        <v>93</v>
      </c>
      <c r="C56" s="802">
        <f t="shared" si="0"/>
        <v>37.5</v>
      </c>
      <c r="D56" s="808">
        <v>29</v>
      </c>
      <c r="E56" s="809"/>
      <c r="F56" s="810">
        <f>4+4.5</f>
        <v>8.5</v>
      </c>
    </row>
    <row r="57" spans="1:6" ht="15" x14ac:dyDescent="0.25">
      <c r="A57" s="806">
        <f t="shared" si="1"/>
        <v>42</v>
      </c>
      <c r="B57" s="807" t="s">
        <v>716</v>
      </c>
      <c r="C57" s="802">
        <f t="shared" si="0"/>
        <v>15</v>
      </c>
      <c r="D57" s="808">
        <v>12</v>
      </c>
      <c r="E57" s="809"/>
      <c r="F57" s="810">
        <v>3</v>
      </c>
    </row>
    <row r="58" spans="1:6" ht="15" x14ac:dyDescent="0.25">
      <c r="A58" s="806">
        <f t="shared" si="1"/>
        <v>43</v>
      </c>
      <c r="B58" s="807" t="s">
        <v>227</v>
      </c>
      <c r="C58" s="802">
        <f t="shared" si="0"/>
        <v>17.100000000000001</v>
      </c>
      <c r="D58" s="808">
        <v>7.1</v>
      </c>
      <c r="E58" s="809"/>
      <c r="F58" s="810">
        <v>10</v>
      </c>
    </row>
    <row r="59" spans="1:6" ht="15" x14ac:dyDescent="0.25">
      <c r="A59" s="806">
        <f t="shared" si="1"/>
        <v>44</v>
      </c>
      <c r="B59" s="807" t="s">
        <v>22</v>
      </c>
      <c r="C59" s="802">
        <f t="shared" si="0"/>
        <v>23.5</v>
      </c>
      <c r="D59" s="808"/>
      <c r="E59" s="809"/>
      <c r="F59" s="810">
        <v>23.5</v>
      </c>
    </row>
    <row r="60" spans="1:6" ht="15" x14ac:dyDescent="0.25">
      <c r="A60" s="806">
        <f t="shared" si="1"/>
        <v>45</v>
      </c>
      <c r="B60" s="807" t="s">
        <v>717</v>
      </c>
      <c r="C60" s="802">
        <f t="shared" si="0"/>
        <v>22.5</v>
      </c>
      <c r="D60" s="808">
        <v>19.2</v>
      </c>
      <c r="E60" s="809"/>
      <c r="F60" s="810">
        <v>3.3</v>
      </c>
    </row>
    <row r="61" spans="1:6" ht="29.25" customHeight="1" thickBot="1" x14ac:dyDescent="0.3">
      <c r="A61" s="816">
        <f t="shared" si="1"/>
        <v>46</v>
      </c>
      <c r="B61" s="817" t="s">
        <v>718</v>
      </c>
      <c r="C61" s="802">
        <f t="shared" si="0"/>
        <v>7.5</v>
      </c>
      <c r="D61" s="818">
        <f>5.2+1.5</f>
        <v>6.7</v>
      </c>
      <c r="E61" s="819"/>
      <c r="F61" s="820">
        <v>0.8</v>
      </c>
    </row>
    <row r="62" spans="1:6" ht="15.75" thickBot="1" x14ac:dyDescent="0.3">
      <c r="A62" s="821">
        <f t="shared" si="1"/>
        <v>47</v>
      </c>
      <c r="B62" s="822" t="s">
        <v>36</v>
      </c>
      <c r="C62" s="823">
        <f>SUM(C16:C61)-C19</f>
        <v>1576.8009999999999</v>
      </c>
      <c r="D62" s="824">
        <f t="shared" ref="D62:E62" si="2">SUM(D16:D61)</f>
        <v>568.65904000000012</v>
      </c>
      <c r="E62" s="825">
        <f t="shared" si="2"/>
        <v>74.603999999999985</v>
      </c>
      <c r="F62" s="826">
        <f>SUM(F16:F61)-F19</f>
        <v>933.53796</v>
      </c>
    </row>
    <row r="64" spans="1:6" x14ac:dyDescent="0.2">
      <c r="C64" s="193"/>
    </row>
  </sheetData>
  <mergeCells count="4">
    <mergeCell ref="A13:A15"/>
    <mergeCell ref="B13:B15"/>
    <mergeCell ref="C14:C15"/>
    <mergeCell ref="D14:F14"/>
  </mergeCells>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T185"/>
  <sheetViews>
    <sheetView topLeftCell="C151" zoomScale="106" zoomScaleNormal="106" workbookViewId="0">
      <selection activeCell="P175" sqref="P175"/>
    </sheetView>
  </sheetViews>
  <sheetFormatPr defaultColWidth="9.140625" defaultRowHeight="12.75" x14ac:dyDescent="0.2"/>
  <cols>
    <col min="1" max="2" width="9.140625" style="168" hidden="1" customWidth="1"/>
    <col min="3" max="3" width="5.140625" style="168" customWidth="1"/>
    <col min="4" max="4" width="52" style="168" customWidth="1"/>
    <col min="5" max="5" width="14.7109375" style="168" customWidth="1"/>
    <col min="6" max="6" width="16.5703125" style="168" customWidth="1"/>
    <col min="7" max="7" width="16" style="168" customWidth="1"/>
    <col min="8" max="10" width="11.7109375" style="168" customWidth="1"/>
    <col min="11" max="11" width="11.42578125" style="168" customWidth="1"/>
    <col min="12" max="12" width="10" style="168" customWidth="1"/>
    <col min="13" max="16384" width="9.140625" style="168"/>
  </cols>
  <sheetData>
    <row r="1" spans="3:12" hidden="1" x14ac:dyDescent="0.2"/>
    <row r="2" spans="3:12" hidden="1" x14ac:dyDescent="0.2"/>
    <row r="4" spans="3:12" ht="15" x14ac:dyDescent="0.25">
      <c r="H4" s="188"/>
      <c r="I4" s="188" t="s">
        <v>23</v>
      </c>
      <c r="J4" s="188"/>
      <c r="K4" s="188"/>
    </row>
    <row r="5" spans="3:12" ht="15" x14ac:dyDescent="0.25">
      <c r="H5" s="188"/>
      <c r="I5" s="188" t="s">
        <v>579</v>
      </c>
      <c r="J5" s="189"/>
      <c r="K5" s="189"/>
    </row>
    <row r="6" spans="3:12" ht="15" x14ac:dyDescent="0.25">
      <c r="H6" s="188"/>
      <c r="I6" s="188" t="s">
        <v>38</v>
      </c>
      <c r="J6" s="188"/>
      <c r="K6" s="188"/>
    </row>
    <row r="7" spans="3:12" ht="15" x14ac:dyDescent="0.25">
      <c r="H7" s="188"/>
      <c r="I7" s="188" t="s">
        <v>609</v>
      </c>
      <c r="J7" s="188"/>
      <c r="K7" s="188"/>
    </row>
    <row r="8" spans="3:12" ht="15" x14ac:dyDescent="0.25">
      <c r="H8" s="188"/>
      <c r="I8" s="188" t="s">
        <v>764</v>
      </c>
      <c r="J8" s="188"/>
      <c r="K8" s="188"/>
    </row>
    <row r="9" spans="3:12" ht="15" x14ac:dyDescent="0.25">
      <c r="H9" s="188"/>
      <c r="I9" s="188" t="s">
        <v>608</v>
      </c>
      <c r="J9" s="188"/>
      <c r="K9" s="188"/>
    </row>
    <row r="10" spans="3:12" ht="15" x14ac:dyDescent="0.25">
      <c r="I10" s="188"/>
      <c r="J10" s="199"/>
      <c r="K10" s="188"/>
    </row>
    <row r="11" spans="3:12" ht="15.75" x14ac:dyDescent="0.25">
      <c r="C11" s="171" t="s">
        <v>37</v>
      </c>
      <c r="D11" s="920" t="s">
        <v>481</v>
      </c>
      <c r="E11" s="921"/>
      <c r="F11" s="921"/>
      <c r="G11" s="921"/>
      <c r="I11" s="188"/>
      <c r="J11" s="189"/>
      <c r="K11" s="189"/>
    </row>
    <row r="12" spans="3:12" ht="15" x14ac:dyDescent="0.25">
      <c r="E12" s="922"/>
      <c r="F12" s="922"/>
      <c r="I12" s="188"/>
      <c r="J12" s="188"/>
      <c r="K12" s="188"/>
    </row>
    <row r="13" spans="3:12" x14ac:dyDescent="0.2">
      <c r="E13" s="172"/>
      <c r="F13" s="172"/>
    </row>
    <row r="14" spans="3:12" ht="13.5" thickBot="1" x14ac:dyDescent="0.25">
      <c r="C14" s="177"/>
      <c r="D14" s="177"/>
      <c r="E14" s="177"/>
      <c r="F14" s="177"/>
      <c r="G14" s="177"/>
      <c r="H14" s="177"/>
      <c r="I14" s="177"/>
      <c r="J14" s="177" t="s">
        <v>585</v>
      </c>
      <c r="K14" s="177"/>
    </row>
    <row r="15" spans="3:12" ht="12.75" customHeight="1" x14ac:dyDescent="0.2">
      <c r="C15" s="912" t="s">
        <v>0</v>
      </c>
      <c r="D15" s="918" t="s">
        <v>39</v>
      </c>
      <c r="E15" s="916" t="s">
        <v>40</v>
      </c>
      <c r="F15" s="912" t="s">
        <v>482</v>
      </c>
      <c r="G15" s="923" t="s">
        <v>483</v>
      </c>
      <c r="H15" s="912" t="s">
        <v>283</v>
      </c>
      <c r="I15" s="912" t="s">
        <v>484</v>
      </c>
      <c r="J15" s="912" t="s">
        <v>485</v>
      </c>
      <c r="K15" s="914" t="s">
        <v>486</v>
      </c>
      <c r="L15" s="910" t="s">
        <v>367</v>
      </c>
    </row>
    <row r="16" spans="3:12" ht="39.75" customHeight="1" thickBot="1" x14ac:dyDescent="0.25">
      <c r="C16" s="913"/>
      <c r="D16" s="919"/>
      <c r="E16" s="917"/>
      <c r="F16" s="913"/>
      <c r="G16" s="924"/>
      <c r="H16" s="913"/>
      <c r="I16" s="913"/>
      <c r="J16" s="913"/>
      <c r="K16" s="915"/>
      <c r="L16" s="911"/>
    </row>
    <row r="17" spans="3:15" ht="15" x14ac:dyDescent="0.25">
      <c r="C17" s="212">
        <v>1</v>
      </c>
      <c r="D17" s="213" t="s">
        <v>48</v>
      </c>
      <c r="E17" s="214">
        <f>F17+G17+H17+I17+J17+K17</f>
        <v>356.08</v>
      </c>
      <c r="F17" s="215">
        <f>F18</f>
        <v>356.08</v>
      </c>
      <c r="G17" s="216"/>
      <c r="H17" s="215"/>
      <c r="I17" s="215"/>
      <c r="J17" s="216"/>
      <c r="K17" s="217"/>
      <c r="L17" s="218"/>
    </row>
    <row r="18" spans="3:15" ht="15" customHeight="1" x14ac:dyDescent="0.25">
      <c r="C18" s="219">
        <v>2</v>
      </c>
      <c r="D18" s="220" t="s">
        <v>50</v>
      </c>
      <c r="E18" s="221">
        <f t="shared" ref="E18:E77" si="0">F18+G18+H18+I18+J18+K18</f>
        <v>356.08</v>
      </c>
      <c r="F18" s="222">
        <v>356.08</v>
      </c>
      <c r="G18" s="223"/>
      <c r="H18" s="224"/>
      <c r="I18" s="224"/>
      <c r="J18" s="223"/>
      <c r="K18" s="225"/>
      <c r="L18" s="200"/>
    </row>
    <row r="19" spans="3:15" ht="15" x14ac:dyDescent="0.25">
      <c r="C19" s="219">
        <f>C18+1</f>
        <v>3</v>
      </c>
      <c r="D19" s="226" t="s">
        <v>425</v>
      </c>
      <c r="E19" s="227">
        <f t="shared" si="0"/>
        <v>6369.3534200000004</v>
      </c>
      <c r="F19" s="228">
        <f>SUM(F20:F26)</f>
        <v>5632.8879999999999</v>
      </c>
      <c r="G19" s="229">
        <f>SUM(G20:G26)</f>
        <v>734.98142000000007</v>
      </c>
      <c r="H19" s="230"/>
      <c r="I19" s="230"/>
      <c r="J19" s="231">
        <f>SUM(J20:J26)</f>
        <v>1.484</v>
      </c>
      <c r="K19" s="230"/>
      <c r="L19" s="200"/>
    </row>
    <row r="20" spans="3:15" ht="15" x14ac:dyDescent="0.25">
      <c r="C20" s="219">
        <f t="shared" ref="C20:C90" si="1">C19+1</f>
        <v>4</v>
      </c>
      <c r="D20" s="220" t="s">
        <v>24</v>
      </c>
      <c r="E20" s="232">
        <f t="shared" si="0"/>
        <v>5752.4024200000003</v>
      </c>
      <c r="F20" s="233">
        <f>5620.193-545.314+53.26+3.498+23.5</f>
        <v>5155.1369999999997</v>
      </c>
      <c r="G20" s="513">
        <f>543.034+0.10383+2.176+50.95759-0.49</f>
        <v>595.78142000000003</v>
      </c>
      <c r="H20" s="234"/>
      <c r="I20" s="234"/>
      <c r="J20" s="235">
        <v>1.484</v>
      </c>
      <c r="K20" s="225"/>
      <c r="L20" s="200"/>
    </row>
    <row r="21" spans="3:15" ht="15" x14ac:dyDescent="0.25">
      <c r="C21" s="219">
        <f t="shared" si="1"/>
        <v>5</v>
      </c>
      <c r="D21" s="220" t="s">
        <v>51</v>
      </c>
      <c r="E21" s="236">
        <f t="shared" si="0"/>
        <v>131.88600000000002</v>
      </c>
      <c r="F21" s="236">
        <f>128.586+3.3</f>
        <v>131.88600000000002</v>
      </c>
      <c r="G21" s="235"/>
      <c r="H21" s="234"/>
      <c r="I21" s="234"/>
      <c r="J21" s="235"/>
      <c r="K21" s="225"/>
      <c r="L21" s="237"/>
    </row>
    <row r="22" spans="3:15" ht="15" x14ac:dyDescent="0.25">
      <c r="C22" s="219">
        <f t="shared" si="1"/>
        <v>6</v>
      </c>
      <c r="D22" s="220" t="s">
        <v>419</v>
      </c>
      <c r="E22" s="236">
        <f t="shared" si="0"/>
        <v>87.5</v>
      </c>
      <c r="F22" s="236">
        <v>87.5</v>
      </c>
      <c r="G22" s="235"/>
      <c r="H22" s="234"/>
      <c r="I22" s="234"/>
      <c r="J22" s="235"/>
      <c r="K22" s="225"/>
      <c r="L22" s="200"/>
    </row>
    <row r="23" spans="3:15" ht="15" x14ac:dyDescent="0.25">
      <c r="C23" s="219">
        <f t="shared" si="1"/>
        <v>7</v>
      </c>
      <c r="D23" s="238" t="s">
        <v>49</v>
      </c>
      <c r="E23" s="236">
        <f t="shared" si="0"/>
        <v>172.36500000000001</v>
      </c>
      <c r="F23" s="222">
        <v>172.36500000000001</v>
      </c>
      <c r="G23" s="235"/>
      <c r="H23" s="234"/>
      <c r="I23" s="234"/>
      <c r="J23" s="235"/>
      <c r="K23" s="225"/>
      <c r="L23" s="200"/>
    </row>
    <row r="24" spans="3:15" ht="15" x14ac:dyDescent="0.25">
      <c r="C24" s="219">
        <f t="shared" si="1"/>
        <v>8</v>
      </c>
      <c r="D24" s="220" t="s">
        <v>52</v>
      </c>
      <c r="E24" s="236">
        <f t="shared" si="0"/>
        <v>139.19999999999999</v>
      </c>
      <c r="F24" s="236"/>
      <c r="G24" s="239">
        <v>139.19999999999999</v>
      </c>
      <c r="H24" s="234"/>
      <c r="I24" s="234"/>
      <c r="J24" s="235"/>
      <c r="K24" s="225"/>
      <c r="L24" s="200"/>
    </row>
    <row r="25" spans="3:15" ht="46.5" customHeight="1" x14ac:dyDescent="0.25">
      <c r="C25" s="219">
        <f t="shared" si="1"/>
        <v>9</v>
      </c>
      <c r="D25" s="240" t="s">
        <v>642</v>
      </c>
      <c r="E25" s="236">
        <f t="shared" si="0"/>
        <v>6</v>
      </c>
      <c r="F25" s="236">
        <v>6</v>
      </c>
      <c r="G25" s="235"/>
      <c r="H25" s="234"/>
      <c r="I25" s="234"/>
      <c r="J25" s="235"/>
      <c r="K25" s="225"/>
      <c r="L25" s="200"/>
    </row>
    <row r="26" spans="3:15" ht="15" x14ac:dyDescent="0.25">
      <c r="C26" s="219">
        <f t="shared" si="1"/>
        <v>10</v>
      </c>
      <c r="D26" s="240" t="s">
        <v>70</v>
      </c>
      <c r="E26" s="236">
        <f t="shared" si="0"/>
        <v>80</v>
      </c>
      <c r="F26" s="236">
        <v>80</v>
      </c>
      <c r="G26" s="235"/>
      <c r="H26" s="234"/>
      <c r="I26" s="234"/>
      <c r="J26" s="235"/>
      <c r="K26" s="225"/>
      <c r="L26" s="200"/>
    </row>
    <row r="27" spans="3:15" ht="15" x14ac:dyDescent="0.25">
      <c r="C27" s="219">
        <f t="shared" si="1"/>
        <v>11</v>
      </c>
      <c r="D27" s="226" t="s">
        <v>53</v>
      </c>
      <c r="E27" s="228">
        <f t="shared" si="0"/>
        <v>107.91200000000001</v>
      </c>
      <c r="F27" s="228">
        <v>107.91200000000001</v>
      </c>
      <c r="G27" s="231"/>
      <c r="H27" s="230"/>
      <c r="I27" s="230"/>
      <c r="J27" s="231"/>
      <c r="K27" s="230"/>
      <c r="L27" s="200"/>
    </row>
    <row r="28" spans="3:15" ht="32.25" customHeight="1" x14ac:dyDescent="0.25">
      <c r="C28" s="219">
        <f t="shared" si="1"/>
        <v>12</v>
      </c>
      <c r="D28" s="241" t="s">
        <v>426</v>
      </c>
      <c r="E28" s="227">
        <f t="shared" si="0"/>
        <v>6924.9283400000004</v>
      </c>
      <c r="F28" s="228">
        <f>SUM(F29:F51)</f>
        <v>4541.8239999999996</v>
      </c>
      <c r="G28" s="229">
        <f>SUM(G29:G53)</f>
        <v>2383.1043400000003</v>
      </c>
      <c r="H28" s="230"/>
      <c r="I28" s="230"/>
      <c r="J28" s="231"/>
      <c r="K28" s="230"/>
      <c r="L28" s="200"/>
    </row>
    <row r="29" spans="3:15" ht="15" x14ac:dyDescent="0.25">
      <c r="C29" s="219">
        <f t="shared" si="1"/>
        <v>13</v>
      </c>
      <c r="D29" s="240" t="s">
        <v>54</v>
      </c>
      <c r="E29" s="236">
        <f t="shared" si="0"/>
        <v>2000</v>
      </c>
      <c r="F29" s="236">
        <v>2000</v>
      </c>
      <c r="G29" s="235"/>
      <c r="H29" s="234"/>
      <c r="I29" s="234"/>
      <c r="J29" s="235"/>
      <c r="K29" s="234"/>
      <c r="L29" s="242"/>
    </row>
    <row r="30" spans="3:15" ht="15" x14ac:dyDescent="0.25">
      <c r="C30" s="219">
        <f t="shared" si="1"/>
        <v>14</v>
      </c>
      <c r="D30" s="240" t="s">
        <v>55</v>
      </c>
      <c r="E30" s="236">
        <f t="shared" si="0"/>
        <v>70</v>
      </c>
      <c r="F30" s="236">
        <v>70</v>
      </c>
      <c r="G30" s="235"/>
      <c r="H30" s="234"/>
      <c r="I30" s="234"/>
      <c r="J30" s="235"/>
      <c r="K30" s="234"/>
      <c r="L30" s="242"/>
    </row>
    <row r="31" spans="3:15" ht="15" x14ac:dyDescent="0.25">
      <c r="C31" s="219">
        <f t="shared" si="1"/>
        <v>15</v>
      </c>
      <c r="D31" s="240" t="s">
        <v>599</v>
      </c>
      <c r="E31" s="236">
        <f t="shared" si="0"/>
        <v>16.014669999999999</v>
      </c>
      <c r="F31" s="236">
        <v>10</v>
      </c>
      <c r="G31" s="243">
        <v>6.0146699999999997</v>
      </c>
      <c r="H31" s="234"/>
      <c r="I31" s="234"/>
      <c r="J31" s="235"/>
      <c r="K31" s="234"/>
      <c r="L31" s="242"/>
    </row>
    <row r="32" spans="3:15" ht="15" x14ac:dyDescent="0.25">
      <c r="C32" s="219">
        <f t="shared" si="1"/>
        <v>16</v>
      </c>
      <c r="D32" s="240" t="s">
        <v>672</v>
      </c>
      <c r="E32" s="236">
        <f t="shared" si="0"/>
        <v>96.608999999999995</v>
      </c>
      <c r="F32" s="236"/>
      <c r="G32" s="514">
        <f>121.119-24.51</f>
        <v>96.608999999999995</v>
      </c>
      <c r="H32" s="234"/>
      <c r="I32" s="234"/>
      <c r="J32" s="235"/>
      <c r="K32" s="234"/>
      <c r="L32" s="242"/>
      <c r="O32" s="178"/>
    </row>
    <row r="33" spans="3:12" ht="15" x14ac:dyDescent="0.25">
      <c r="C33" s="219">
        <f t="shared" si="1"/>
        <v>17</v>
      </c>
      <c r="D33" s="240" t="s">
        <v>2</v>
      </c>
      <c r="E33" s="236">
        <f t="shared" si="0"/>
        <v>573.79999999999995</v>
      </c>
      <c r="F33" s="236"/>
      <c r="G33" s="235">
        <v>573.79999999999995</v>
      </c>
      <c r="H33" s="234"/>
      <c r="I33" s="234"/>
      <c r="J33" s="235"/>
      <c r="K33" s="234"/>
      <c r="L33" s="242"/>
    </row>
    <row r="34" spans="3:12" ht="15" x14ac:dyDescent="0.25">
      <c r="C34" s="219">
        <f t="shared" si="1"/>
        <v>18</v>
      </c>
      <c r="D34" s="240" t="s">
        <v>56</v>
      </c>
      <c r="E34" s="236">
        <f t="shared" si="0"/>
        <v>4</v>
      </c>
      <c r="F34" s="236"/>
      <c r="G34" s="235">
        <v>4</v>
      </c>
      <c r="H34" s="234"/>
      <c r="I34" s="234"/>
      <c r="J34" s="235"/>
      <c r="K34" s="234"/>
      <c r="L34" s="242"/>
    </row>
    <row r="35" spans="3:12" ht="30" x14ac:dyDescent="0.25">
      <c r="C35" s="219">
        <f t="shared" si="1"/>
        <v>19</v>
      </c>
      <c r="D35" s="240" t="s">
        <v>427</v>
      </c>
      <c r="E35" s="236">
        <f t="shared" si="0"/>
        <v>5</v>
      </c>
      <c r="F35" s="236">
        <v>5</v>
      </c>
      <c r="G35" s="235"/>
      <c r="H35" s="234"/>
      <c r="I35" s="234"/>
      <c r="J35" s="235"/>
      <c r="K35" s="234"/>
      <c r="L35" s="242"/>
    </row>
    <row r="36" spans="3:12" ht="15" x14ac:dyDescent="0.25">
      <c r="C36" s="219">
        <f t="shared" si="1"/>
        <v>20</v>
      </c>
      <c r="D36" s="240" t="s">
        <v>57</v>
      </c>
      <c r="E36" s="236">
        <f t="shared" si="0"/>
        <v>1233.4000000000001</v>
      </c>
      <c r="F36" s="236"/>
      <c r="G36" s="235">
        <v>1233.4000000000001</v>
      </c>
      <c r="H36" s="234"/>
      <c r="I36" s="234"/>
      <c r="J36" s="235"/>
      <c r="K36" s="234"/>
      <c r="L36" s="242"/>
    </row>
    <row r="37" spans="3:12" ht="15" x14ac:dyDescent="0.25">
      <c r="C37" s="219">
        <f t="shared" si="1"/>
        <v>21</v>
      </c>
      <c r="D37" s="240" t="s">
        <v>58</v>
      </c>
      <c r="E37" s="236">
        <f t="shared" si="0"/>
        <v>1175</v>
      </c>
      <c r="F37" s="236">
        <v>1175</v>
      </c>
      <c r="G37" s="235"/>
      <c r="H37" s="234"/>
      <c r="I37" s="234"/>
      <c r="J37" s="235"/>
      <c r="K37" s="234"/>
      <c r="L37" s="242"/>
    </row>
    <row r="38" spans="3:12" ht="17.25" customHeight="1" x14ac:dyDescent="0.25">
      <c r="C38" s="219">
        <f t="shared" si="1"/>
        <v>22</v>
      </c>
      <c r="D38" s="240" t="s">
        <v>231</v>
      </c>
      <c r="E38" s="236">
        <f t="shared" si="0"/>
        <v>100</v>
      </c>
      <c r="F38" s="236">
        <v>100</v>
      </c>
      <c r="G38" s="235"/>
      <c r="H38" s="234"/>
      <c r="I38" s="234"/>
      <c r="J38" s="235"/>
      <c r="K38" s="234"/>
      <c r="L38" s="242"/>
    </row>
    <row r="39" spans="3:12" ht="13.5" customHeight="1" x14ac:dyDescent="0.25">
      <c r="C39" s="219">
        <f t="shared" si="1"/>
        <v>23</v>
      </c>
      <c r="D39" s="240" t="s">
        <v>488</v>
      </c>
      <c r="E39" s="236">
        <f t="shared" si="0"/>
        <v>200</v>
      </c>
      <c r="F39" s="236">
        <v>200</v>
      </c>
      <c r="G39" s="235"/>
      <c r="H39" s="234"/>
      <c r="I39" s="234"/>
      <c r="J39" s="235"/>
      <c r="K39" s="234"/>
      <c r="L39" s="242"/>
    </row>
    <row r="40" spans="3:12" s="177" customFormat="1" ht="30.75" customHeight="1" x14ac:dyDescent="0.25">
      <c r="C40" s="219">
        <f t="shared" si="1"/>
        <v>24</v>
      </c>
      <c r="D40" s="240" t="s">
        <v>210</v>
      </c>
      <c r="E40" s="236">
        <f t="shared" si="0"/>
        <v>7</v>
      </c>
      <c r="F40" s="236">
        <v>7</v>
      </c>
      <c r="G40" s="235"/>
      <c r="H40" s="234"/>
      <c r="I40" s="234"/>
      <c r="J40" s="235"/>
      <c r="K40" s="234"/>
      <c r="L40" s="242"/>
    </row>
    <row r="41" spans="3:12" s="177" customFormat="1" ht="16.5" customHeight="1" x14ac:dyDescent="0.25">
      <c r="C41" s="219">
        <f t="shared" si="1"/>
        <v>25</v>
      </c>
      <c r="D41" s="240" t="s">
        <v>401</v>
      </c>
      <c r="E41" s="236">
        <f t="shared" si="0"/>
        <v>678.5</v>
      </c>
      <c r="F41" s="236">
        <f>650+28.5</f>
        <v>678.5</v>
      </c>
      <c r="G41" s="235"/>
      <c r="H41" s="234"/>
      <c r="I41" s="234"/>
      <c r="J41" s="235"/>
      <c r="K41" s="234"/>
      <c r="L41" s="242"/>
    </row>
    <row r="42" spans="3:12" s="177" customFormat="1" ht="15.75" customHeight="1" x14ac:dyDescent="0.25">
      <c r="C42" s="219">
        <f t="shared" si="1"/>
        <v>26</v>
      </c>
      <c r="D42" s="240" t="s">
        <v>381</v>
      </c>
      <c r="E42" s="236">
        <f t="shared" si="0"/>
        <v>186.8</v>
      </c>
      <c r="F42" s="236"/>
      <c r="G42" s="235">
        <v>186.8</v>
      </c>
      <c r="H42" s="234"/>
      <c r="I42" s="234"/>
      <c r="J42" s="235"/>
      <c r="K42" s="234"/>
      <c r="L42" s="242"/>
    </row>
    <row r="43" spans="3:12" s="177" customFormat="1" ht="15" customHeight="1" x14ac:dyDescent="0.25">
      <c r="C43" s="219">
        <f t="shared" si="1"/>
        <v>27</v>
      </c>
      <c r="D43" s="240" t="s">
        <v>376</v>
      </c>
      <c r="E43" s="236">
        <f t="shared" si="0"/>
        <v>25.001000000000001</v>
      </c>
      <c r="F43" s="236"/>
      <c r="G43" s="235">
        <v>25.001000000000001</v>
      </c>
      <c r="H43" s="234"/>
      <c r="I43" s="234"/>
      <c r="J43" s="235"/>
      <c r="K43" s="234"/>
      <c r="L43" s="242"/>
    </row>
    <row r="44" spans="3:12" s="177" customFormat="1" ht="15" customHeight="1" x14ac:dyDescent="0.25">
      <c r="C44" s="219">
        <f t="shared" si="1"/>
        <v>28</v>
      </c>
      <c r="D44" s="240" t="s">
        <v>258</v>
      </c>
      <c r="E44" s="236">
        <f t="shared" si="0"/>
        <v>100</v>
      </c>
      <c r="F44" s="236">
        <v>100</v>
      </c>
      <c r="G44" s="235"/>
      <c r="H44" s="234"/>
      <c r="I44" s="234"/>
      <c r="J44" s="235"/>
      <c r="K44" s="234"/>
      <c r="L44" s="242"/>
    </row>
    <row r="45" spans="3:12" s="177" customFormat="1" ht="15.75" customHeight="1" x14ac:dyDescent="0.25">
      <c r="C45" s="219">
        <f t="shared" si="1"/>
        <v>29</v>
      </c>
      <c r="D45" s="240" t="s">
        <v>370</v>
      </c>
      <c r="E45" s="236">
        <f t="shared" si="0"/>
        <v>20</v>
      </c>
      <c r="F45" s="236">
        <f>10+10</f>
        <v>20</v>
      </c>
      <c r="G45" s="235"/>
      <c r="H45" s="234"/>
      <c r="I45" s="234"/>
      <c r="J45" s="235"/>
      <c r="K45" s="234"/>
      <c r="L45" s="242"/>
    </row>
    <row r="46" spans="3:12" s="177" customFormat="1" ht="13.5" customHeight="1" x14ac:dyDescent="0.25">
      <c r="C46" s="219">
        <f t="shared" si="1"/>
        <v>30</v>
      </c>
      <c r="D46" s="240" t="s">
        <v>371</v>
      </c>
      <c r="E46" s="236">
        <f t="shared" si="0"/>
        <v>14</v>
      </c>
      <c r="F46" s="236">
        <v>14</v>
      </c>
      <c r="G46" s="235"/>
      <c r="H46" s="234"/>
      <c r="I46" s="234"/>
      <c r="J46" s="235"/>
      <c r="K46" s="234"/>
      <c r="L46" s="242"/>
    </row>
    <row r="47" spans="3:12" s="177" customFormat="1" ht="15.75" customHeight="1" x14ac:dyDescent="0.25">
      <c r="C47" s="219">
        <f t="shared" si="1"/>
        <v>31</v>
      </c>
      <c r="D47" s="240" t="s">
        <v>382</v>
      </c>
      <c r="E47" s="236">
        <f t="shared" si="0"/>
        <v>23</v>
      </c>
      <c r="F47" s="236">
        <v>23</v>
      </c>
      <c r="G47" s="235"/>
      <c r="H47" s="234"/>
      <c r="I47" s="234"/>
      <c r="J47" s="235"/>
      <c r="K47" s="234"/>
      <c r="L47" s="242"/>
    </row>
    <row r="48" spans="3:12" s="177" customFormat="1" ht="13.5" customHeight="1" x14ac:dyDescent="0.25">
      <c r="C48" s="219">
        <f t="shared" si="1"/>
        <v>32</v>
      </c>
      <c r="D48" s="240" t="s">
        <v>500</v>
      </c>
      <c r="E48" s="236">
        <f t="shared" si="0"/>
        <v>100</v>
      </c>
      <c r="F48" s="236">
        <v>100</v>
      </c>
      <c r="G48" s="235"/>
      <c r="H48" s="234"/>
      <c r="I48" s="234"/>
      <c r="J48" s="235"/>
      <c r="K48" s="234"/>
      <c r="L48" s="242"/>
    </row>
    <row r="49" spans="3:12" s="177" customFormat="1" ht="30" customHeight="1" x14ac:dyDescent="0.25">
      <c r="C49" s="219">
        <f t="shared" si="1"/>
        <v>33</v>
      </c>
      <c r="D49" s="244" t="s">
        <v>380</v>
      </c>
      <c r="E49" s="236">
        <f t="shared" si="0"/>
        <v>72.528999999999996</v>
      </c>
      <c r="F49" s="236"/>
      <c r="G49" s="235">
        <v>72.528999999999996</v>
      </c>
      <c r="H49" s="234"/>
      <c r="I49" s="234"/>
      <c r="J49" s="235"/>
      <c r="K49" s="234"/>
      <c r="L49" s="242"/>
    </row>
    <row r="50" spans="3:12" s="177" customFormat="1" ht="45" x14ac:dyDescent="0.25">
      <c r="C50" s="219">
        <f t="shared" si="1"/>
        <v>34</v>
      </c>
      <c r="D50" s="198" t="s">
        <v>643</v>
      </c>
      <c r="E50" s="236">
        <f t="shared" si="0"/>
        <v>5.1916700000000002</v>
      </c>
      <c r="F50" s="236"/>
      <c r="G50" s="235">
        <v>5.1916700000000002</v>
      </c>
      <c r="H50" s="234"/>
      <c r="I50" s="234"/>
      <c r="J50" s="235"/>
      <c r="K50" s="234"/>
      <c r="L50" s="242"/>
    </row>
    <row r="51" spans="3:12" s="177" customFormat="1" ht="15" x14ac:dyDescent="0.25">
      <c r="C51" s="219">
        <v>35</v>
      </c>
      <c r="D51" s="245" t="s">
        <v>550</v>
      </c>
      <c r="E51" s="236">
        <f t="shared" si="0"/>
        <v>39.323999999999998</v>
      </c>
      <c r="F51" s="234">
        <v>39.323999999999998</v>
      </c>
      <c r="G51" s="235"/>
      <c r="H51" s="234"/>
      <c r="I51" s="234"/>
      <c r="J51" s="235"/>
      <c r="K51" s="234"/>
      <c r="L51" s="246"/>
    </row>
    <row r="52" spans="3:12" s="177" customFormat="1" ht="117" customHeight="1" thickBot="1" x14ac:dyDescent="0.3">
      <c r="C52" s="248">
        <v>36</v>
      </c>
      <c r="D52" s="244" t="s">
        <v>668</v>
      </c>
      <c r="E52" s="236">
        <f t="shared" si="0"/>
        <v>16.759</v>
      </c>
      <c r="F52" s="234"/>
      <c r="G52" s="316">
        <v>16.759</v>
      </c>
      <c r="H52" s="234"/>
      <c r="I52" s="234"/>
      <c r="J52" s="316"/>
      <c r="K52" s="234"/>
      <c r="L52" s="246"/>
    </row>
    <row r="53" spans="3:12" s="177" customFormat="1" ht="44.25" customHeight="1" thickBot="1" x14ac:dyDescent="0.3">
      <c r="C53" s="512">
        <v>37</v>
      </c>
      <c r="D53" s="515" t="s">
        <v>671</v>
      </c>
      <c r="E53" s="236">
        <f t="shared" si="0"/>
        <v>163</v>
      </c>
      <c r="F53" s="234"/>
      <c r="G53" s="316">
        <v>163</v>
      </c>
      <c r="H53" s="234"/>
      <c r="I53" s="234"/>
      <c r="J53" s="316"/>
      <c r="K53" s="234"/>
      <c r="L53" s="246"/>
    </row>
    <row r="54" spans="3:12" ht="15" x14ac:dyDescent="0.25">
      <c r="C54" s="284">
        <v>38</v>
      </c>
      <c r="D54" s="247" t="s">
        <v>428</v>
      </c>
      <c r="E54" s="228">
        <f>F54+G54+H54+I54+J54+K54</f>
        <v>1356.4909999999998</v>
      </c>
      <c r="F54" s="228">
        <f>SUM(F55:F62)</f>
        <v>1117.992</v>
      </c>
      <c r="G54" s="231">
        <f>SUM(G55:G61)</f>
        <v>3.6</v>
      </c>
      <c r="H54" s="230"/>
      <c r="I54" s="230">
        <f>SUM(I55:I60)</f>
        <v>50</v>
      </c>
      <c r="J54" s="231">
        <f>SUM(J55:J60)</f>
        <v>139.79900000000001</v>
      </c>
      <c r="K54" s="230">
        <f>SUM(K55:K62)</f>
        <v>45.1</v>
      </c>
      <c r="L54" s="200"/>
    </row>
    <row r="55" spans="3:12" ht="15" x14ac:dyDescent="0.25">
      <c r="C55" s="219">
        <v>39</v>
      </c>
      <c r="D55" s="240" t="s">
        <v>62</v>
      </c>
      <c r="E55" s="236">
        <f t="shared" si="0"/>
        <v>15</v>
      </c>
      <c r="F55" s="236">
        <v>15</v>
      </c>
      <c r="G55" s="235"/>
      <c r="H55" s="234"/>
      <c r="I55" s="234"/>
      <c r="J55" s="235"/>
      <c r="K55" s="234"/>
      <c r="L55" s="242"/>
    </row>
    <row r="56" spans="3:12" ht="29.25" customHeight="1" x14ac:dyDescent="0.25">
      <c r="C56" s="219">
        <v>40</v>
      </c>
      <c r="D56" s="240" t="s">
        <v>372</v>
      </c>
      <c r="E56" s="236">
        <f t="shared" si="0"/>
        <v>700</v>
      </c>
      <c r="F56" s="236">
        <v>700</v>
      </c>
      <c r="G56" s="235"/>
      <c r="H56" s="234"/>
      <c r="I56" s="234"/>
      <c r="J56" s="235"/>
      <c r="K56" s="234"/>
      <c r="L56" s="242"/>
    </row>
    <row r="57" spans="3:12" ht="15.75" thickBot="1" x14ac:dyDescent="0.3">
      <c r="C57" s="248">
        <v>41</v>
      </c>
      <c r="D57" s="240" t="s">
        <v>63</v>
      </c>
      <c r="E57" s="236">
        <f t="shared" si="0"/>
        <v>350</v>
      </c>
      <c r="F57" s="236">
        <v>350</v>
      </c>
      <c r="G57" s="235"/>
      <c r="H57" s="234"/>
      <c r="I57" s="234"/>
      <c r="J57" s="235"/>
      <c r="K57" s="234"/>
      <c r="L57" s="242"/>
    </row>
    <row r="58" spans="3:12" ht="15" x14ac:dyDescent="0.25">
      <c r="C58" s="249">
        <v>42</v>
      </c>
      <c r="D58" s="250" t="s">
        <v>64</v>
      </c>
      <c r="E58" s="236">
        <f t="shared" si="0"/>
        <v>0.1</v>
      </c>
      <c r="F58" s="236">
        <v>0.1</v>
      </c>
      <c r="G58" s="235"/>
      <c r="H58" s="234"/>
      <c r="I58" s="234"/>
      <c r="J58" s="235"/>
      <c r="K58" s="234"/>
      <c r="L58" s="242"/>
    </row>
    <row r="59" spans="3:12" ht="15" x14ac:dyDescent="0.25">
      <c r="C59" s="251">
        <f t="shared" si="1"/>
        <v>43</v>
      </c>
      <c r="D59" s="250" t="s">
        <v>211</v>
      </c>
      <c r="E59" s="236">
        <f t="shared" si="0"/>
        <v>30</v>
      </c>
      <c r="F59" s="236">
        <v>30</v>
      </c>
      <c r="G59" s="235"/>
      <c r="H59" s="234"/>
      <c r="I59" s="234"/>
      <c r="J59" s="235"/>
      <c r="K59" s="234"/>
      <c r="L59" s="242"/>
    </row>
    <row r="60" spans="3:12" ht="15" x14ac:dyDescent="0.25">
      <c r="C60" s="251">
        <f t="shared" si="1"/>
        <v>44</v>
      </c>
      <c r="D60" s="250" t="s">
        <v>65</v>
      </c>
      <c r="E60" s="236">
        <f t="shared" si="0"/>
        <v>189.79900000000001</v>
      </c>
      <c r="F60" s="236"/>
      <c r="G60" s="235"/>
      <c r="H60" s="234"/>
      <c r="I60" s="234">
        <v>50</v>
      </c>
      <c r="J60" s="235">
        <v>139.79900000000001</v>
      </c>
      <c r="K60" s="234"/>
      <c r="L60" s="242"/>
    </row>
    <row r="61" spans="3:12" ht="13.5" customHeight="1" x14ac:dyDescent="0.25">
      <c r="C61" s="251">
        <f t="shared" si="1"/>
        <v>45</v>
      </c>
      <c r="D61" s="250" t="s">
        <v>260</v>
      </c>
      <c r="E61" s="236">
        <f t="shared" si="0"/>
        <v>3.6</v>
      </c>
      <c r="F61" s="236"/>
      <c r="G61" s="235">
        <v>3.6</v>
      </c>
      <c r="H61" s="234"/>
      <c r="I61" s="234"/>
      <c r="J61" s="235"/>
      <c r="K61" s="234"/>
      <c r="L61" s="242"/>
    </row>
    <row r="62" spans="3:12" ht="15.75" customHeight="1" x14ac:dyDescent="0.25">
      <c r="C62" s="251">
        <f t="shared" si="1"/>
        <v>46</v>
      </c>
      <c r="D62" s="252" t="s">
        <v>550</v>
      </c>
      <c r="E62" s="236">
        <f t="shared" si="0"/>
        <v>67.992000000000004</v>
      </c>
      <c r="F62" s="236">
        <v>22.891999999999999</v>
      </c>
      <c r="G62" s="235"/>
      <c r="H62" s="234"/>
      <c r="I62" s="234"/>
      <c r="J62" s="235"/>
      <c r="K62" s="234">
        <v>45.1</v>
      </c>
      <c r="L62" s="242"/>
    </row>
    <row r="63" spans="3:12" ht="12.75" customHeight="1" x14ac:dyDescent="0.2">
      <c r="C63" s="251">
        <f t="shared" si="1"/>
        <v>47</v>
      </c>
      <c r="D63" s="253" t="s">
        <v>581</v>
      </c>
      <c r="E63" s="228">
        <f>F63+G63+H63+I63+J63+K63+L63</f>
        <v>5585.1589999999997</v>
      </c>
      <c r="F63" s="228">
        <f>SUM(F64:F71)</f>
        <v>623</v>
      </c>
      <c r="G63" s="228">
        <f>SUM(G64:G71)</f>
        <v>3022.5</v>
      </c>
      <c r="H63" s="230"/>
      <c r="I63" s="230"/>
      <c r="J63" s="231">
        <f>SUM(J64:J71)</f>
        <v>1781.6020000000001</v>
      </c>
      <c r="K63" s="230">
        <f>SUM(K64:K71)</f>
        <v>48.057000000000002</v>
      </c>
      <c r="L63" s="228">
        <f>SUM(L64:L71)</f>
        <v>110</v>
      </c>
    </row>
    <row r="64" spans="3:12" ht="16.5" customHeight="1" x14ac:dyDescent="0.25">
      <c r="C64" s="251">
        <f t="shared" si="1"/>
        <v>48</v>
      </c>
      <c r="D64" s="250" t="s">
        <v>66</v>
      </c>
      <c r="E64" s="236">
        <f t="shared" si="0"/>
        <v>725</v>
      </c>
      <c r="F64" s="236">
        <v>25</v>
      </c>
      <c r="G64" s="235"/>
      <c r="H64" s="234"/>
      <c r="I64" s="234"/>
      <c r="J64" s="235">
        <f>800-100</f>
        <v>700</v>
      </c>
      <c r="K64" s="234"/>
      <c r="L64" s="242"/>
    </row>
    <row r="65" spans="3:20" ht="15.75" customHeight="1" x14ac:dyDescent="0.25">
      <c r="C65" s="251">
        <f t="shared" si="1"/>
        <v>49</v>
      </c>
      <c r="D65" s="254" t="s">
        <v>498</v>
      </c>
      <c r="E65" s="236">
        <f>F65+G65+H65+I65+J65+K65+L65</f>
        <v>1239.6590000000001</v>
      </c>
      <c r="F65" s="236"/>
      <c r="G65" s="235"/>
      <c r="H65" s="234"/>
      <c r="I65" s="234"/>
      <c r="J65" s="235">
        <v>1081.6020000000001</v>
      </c>
      <c r="K65" s="234">
        <v>48.057000000000002</v>
      </c>
      <c r="L65" s="242">
        <v>110</v>
      </c>
      <c r="T65" s="201"/>
    </row>
    <row r="66" spans="3:20" ht="15" x14ac:dyDescent="0.25">
      <c r="C66" s="251">
        <f t="shared" si="1"/>
        <v>50</v>
      </c>
      <c r="D66" s="250" t="s">
        <v>229</v>
      </c>
      <c r="E66" s="236">
        <f t="shared" si="0"/>
        <v>40</v>
      </c>
      <c r="F66" s="236">
        <v>40</v>
      </c>
      <c r="G66" s="235"/>
      <c r="H66" s="234"/>
      <c r="I66" s="234"/>
      <c r="J66" s="235"/>
      <c r="K66" s="234"/>
      <c r="L66" s="242"/>
    </row>
    <row r="67" spans="3:20" ht="15" x14ac:dyDescent="0.25">
      <c r="C67" s="251">
        <f t="shared" si="1"/>
        <v>51</v>
      </c>
      <c r="D67" s="250" t="s">
        <v>232</v>
      </c>
      <c r="E67" s="236">
        <f t="shared" si="0"/>
        <v>3</v>
      </c>
      <c r="F67" s="236">
        <v>3</v>
      </c>
      <c r="G67" s="235"/>
      <c r="H67" s="234"/>
      <c r="I67" s="234"/>
      <c r="J67" s="235"/>
      <c r="K67" s="234"/>
      <c r="L67" s="242"/>
    </row>
    <row r="68" spans="3:20" ht="15" x14ac:dyDescent="0.25">
      <c r="C68" s="251">
        <f t="shared" si="1"/>
        <v>52</v>
      </c>
      <c r="D68" s="250" t="s">
        <v>67</v>
      </c>
      <c r="E68" s="236">
        <f t="shared" si="0"/>
        <v>400</v>
      </c>
      <c r="F68" s="236">
        <v>400</v>
      </c>
      <c r="G68" s="235"/>
      <c r="H68" s="234"/>
      <c r="I68" s="234"/>
      <c r="J68" s="235"/>
      <c r="K68" s="234"/>
      <c r="L68" s="242"/>
    </row>
    <row r="69" spans="3:20" ht="15" x14ac:dyDescent="0.25">
      <c r="C69" s="251">
        <f t="shared" si="1"/>
        <v>53</v>
      </c>
      <c r="D69" s="250" t="s">
        <v>641</v>
      </c>
      <c r="E69" s="236">
        <f t="shared" si="0"/>
        <v>2624.5</v>
      </c>
      <c r="F69" s="236">
        <f>105+20</f>
        <v>125</v>
      </c>
      <c r="G69" s="235">
        <v>2499.5</v>
      </c>
      <c r="H69" s="234"/>
      <c r="I69" s="234"/>
      <c r="J69" s="235"/>
      <c r="K69" s="234"/>
      <c r="L69" s="242"/>
    </row>
    <row r="70" spans="3:20" ht="15" x14ac:dyDescent="0.25">
      <c r="C70" s="251">
        <f t="shared" si="1"/>
        <v>54</v>
      </c>
      <c r="D70" s="255" t="s">
        <v>639</v>
      </c>
      <c r="E70" s="236">
        <f t="shared" si="0"/>
        <v>523</v>
      </c>
      <c r="F70" s="234"/>
      <c r="G70" s="235">
        <v>523</v>
      </c>
      <c r="H70" s="234"/>
      <c r="I70" s="234"/>
      <c r="J70" s="235"/>
      <c r="K70" s="234"/>
      <c r="L70" s="246"/>
    </row>
    <row r="71" spans="3:20" ht="15" x14ac:dyDescent="0.25">
      <c r="C71" s="251">
        <f t="shared" si="1"/>
        <v>55</v>
      </c>
      <c r="D71" s="256" t="s">
        <v>208</v>
      </c>
      <c r="E71" s="236">
        <f t="shared" si="0"/>
        <v>30</v>
      </c>
      <c r="F71" s="236">
        <v>30</v>
      </c>
      <c r="G71" s="235"/>
      <c r="H71" s="234"/>
      <c r="I71" s="234"/>
      <c r="J71" s="235"/>
      <c r="K71" s="234"/>
      <c r="L71" s="242"/>
    </row>
    <row r="72" spans="3:20" ht="27.75" customHeight="1" x14ac:dyDescent="0.25">
      <c r="C72" s="251">
        <f t="shared" si="1"/>
        <v>56</v>
      </c>
      <c r="D72" s="257" t="s">
        <v>429</v>
      </c>
      <c r="E72" s="228">
        <f t="shared" si="0"/>
        <v>184.31599999999997</v>
      </c>
      <c r="F72" s="228">
        <f>SUM(F73:F76)</f>
        <v>161.64999999999998</v>
      </c>
      <c r="G72" s="231"/>
      <c r="H72" s="230"/>
      <c r="I72" s="230"/>
      <c r="J72" s="231"/>
      <c r="K72" s="230">
        <f>SUM(K73:K76)</f>
        <v>22.666</v>
      </c>
      <c r="L72" s="200"/>
    </row>
    <row r="73" spans="3:20" ht="15" customHeight="1" x14ac:dyDescent="0.25">
      <c r="C73" s="251">
        <f t="shared" si="1"/>
        <v>57</v>
      </c>
      <c r="D73" s="250" t="s">
        <v>68</v>
      </c>
      <c r="E73" s="236">
        <f t="shared" si="0"/>
        <v>48.7</v>
      </c>
      <c r="F73" s="236">
        <v>48.7</v>
      </c>
      <c r="G73" s="235"/>
      <c r="H73" s="234"/>
      <c r="I73" s="234"/>
      <c r="J73" s="235"/>
      <c r="K73" s="234"/>
      <c r="L73" s="200"/>
    </row>
    <row r="74" spans="3:20" ht="30" x14ac:dyDescent="0.25">
      <c r="C74" s="251">
        <f t="shared" si="1"/>
        <v>58</v>
      </c>
      <c r="D74" s="250" t="s">
        <v>69</v>
      </c>
      <c r="E74" s="236">
        <f t="shared" si="0"/>
        <v>44.5</v>
      </c>
      <c r="F74" s="236">
        <v>44.5</v>
      </c>
      <c r="G74" s="235"/>
      <c r="H74" s="234"/>
      <c r="I74" s="234"/>
      <c r="J74" s="235"/>
      <c r="K74" s="234"/>
      <c r="L74" s="200"/>
    </row>
    <row r="75" spans="3:20" ht="15" x14ac:dyDescent="0.25">
      <c r="C75" s="251">
        <f t="shared" si="1"/>
        <v>59</v>
      </c>
      <c r="D75" s="250" t="s">
        <v>430</v>
      </c>
      <c r="E75" s="236">
        <f t="shared" si="0"/>
        <v>26.9</v>
      </c>
      <c r="F75" s="236">
        <v>26.9</v>
      </c>
      <c r="G75" s="235"/>
      <c r="H75" s="234"/>
      <c r="I75" s="234"/>
      <c r="J75" s="235"/>
      <c r="K75" s="234"/>
      <c r="L75" s="200"/>
    </row>
    <row r="76" spans="3:20" ht="15.75" customHeight="1" x14ac:dyDescent="0.25">
      <c r="C76" s="251">
        <f t="shared" si="1"/>
        <v>60</v>
      </c>
      <c r="D76" s="252" t="s">
        <v>550</v>
      </c>
      <c r="E76" s="236">
        <f t="shared" si="0"/>
        <v>64.215999999999994</v>
      </c>
      <c r="F76" s="236">
        <v>41.55</v>
      </c>
      <c r="G76" s="235"/>
      <c r="H76" s="234"/>
      <c r="I76" s="234"/>
      <c r="J76" s="235"/>
      <c r="K76" s="234">
        <v>22.666</v>
      </c>
      <c r="L76" s="200"/>
    </row>
    <row r="77" spans="3:20" ht="15.75" customHeight="1" x14ac:dyDescent="0.25">
      <c r="C77" s="251">
        <f t="shared" si="1"/>
        <v>61</v>
      </c>
      <c r="D77" s="257" t="s">
        <v>431</v>
      </c>
      <c r="E77" s="228">
        <f t="shared" si="0"/>
        <v>1787.857</v>
      </c>
      <c r="F77" s="228">
        <f>SUM(F78:F86)</f>
        <v>1508.2570000000001</v>
      </c>
      <c r="G77" s="231"/>
      <c r="H77" s="230"/>
      <c r="I77" s="230"/>
      <c r="J77" s="231">
        <f>SUM(J78:J86)</f>
        <v>279.60000000000002</v>
      </c>
      <c r="K77" s="230"/>
      <c r="L77" s="200"/>
    </row>
    <row r="78" spans="3:20" ht="30" x14ac:dyDescent="0.25">
      <c r="C78" s="251">
        <f t="shared" si="1"/>
        <v>62</v>
      </c>
      <c r="D78" s="250" t="s">
        <v>390</v>
      </c>
      <c r="E78" s="236">
        <f t="shared" ref="E78:E133" si="2">F78+G78+H78+I78+J78+K78</f>
        <v>3</v>
      </c>
      <c r="F78" s="236">
        <v>3</v>
      </c>
      <c r="G78" s="235"/>
      <c r="H78" s="234"/>
      <c r="I78" s="234"/>
      <c r="J78" s="235"/>
      <c r="K78" s="225"/>
      <c r="L78" s="200"/>
    </row>
    <row r="79" spans="3:20" ht="15.75" customHeight="1" x14ac:dyDescent="0.25">
      <c r="C79" s="251">
        <f t="shared" si="1"/>
        <v>63</v>
      </c>
      <c r="D79" s="250" t="s">
        <v>388</v>
      </c>
      <c r="E79" s="236">
        <f t="shared" si="2"/>
        <v>3</v>
      </c>
      <c r="F79" s="236">
        <v>3</v>
      </c>
      <c r="G79" s="235"/>
      <c r="H79" s="234"/>
      <c r="I79" s="234"/>
      <c r="J79" s="235"/>
      <c r="K79" s="225"/>
      <c r="L79" s="200"/>
    </row>
    <row r="80" spans="3:20" ht="30" x14ac:dyDescent="0.25">
      <c r="C80" s="251">
        <f t="shared" si="1"/>
        <v>64</v>
      </c>
      <c r="D80" s="250" t="s">
        <v>215</v>
      </c>
      <c r="E80" s="236">
        <f t="shared" si="2"/>
        <v>115.5</v>
      </c>
      <c r="F80" s="236">
        <f>124.5-9</f>
        <v>115.5</v>
      </c>
      <c r="G80" s="235"/>
      <c r="H80" s="234"/>
      <c r="I80" s="234"/>
      <c r="J80" s="235"/>
      <c r="K80" s="225"/>
      <c r="L80" s="200"/>
    </row>
    <row r="81" spans="3:12" ht="30" customHeight="1" x14ac:dyDescent="0.25">
      <c r="C81" s="251">
        <f t="shared" si="1"/>
        <v>65</v>
      </c>
      <c r="D81" s="250" t="s">
        <v>233</v>
      </c>
      <c r="E81" s="236">
        <f t="shared" si="2"/>
        <v>54.756999999999998</v>
      </c>
      <c r="F81" s="236">
        <v>54.756999999999998</v>
      </c>
      <c r="G81" s="235"/>
      <c r="H81" s="234"/>
      <c r="I81" s="234"/>
      <c r="J81" s="235"/>
      <c r="K81" s="225"/>
      <c r="L81" s="200"/>
    </row>
    <row r="82" spans="3:12" ht="14.25" customHeight="1" x14ac:dyDescent="0.25">
      <c r="C82" s="251">
        <f t="shared" si="1"/>
        <v>66</v>
      </c>
      <c r="D82" s="250" t="s">
        <v>389</v>
      </c>
      <c r="E82" s="236">
        <f t="shared" si="2"/>
        <v>30</v>
      </c>
      <c r="F82" s="236">
        <v>30</v>
      </c>
      <c r="G82" s="235"/>
      <c r="H82" s="234"/>
      <c r="I82" s="234"/>
      <c r="J82" s="235"/>
      <c r="K82" s="225"/>
      <c r="L82" s="200"/>
    </row>
    <row r="83" spans="3:12" ht="15.75" customHeight="1" x14ac:dyDescent="0.25">
      <c r="C83" s="251">
        <f t="shared" si="1"/>
        <v>67</v>
      </c>
      <c r="D83" s="250" t="s">
        <v>554</v>
      </c>
      <c r="E83" s="236">
        <f t="shared" si="2"/>
        <v>109</v>
      </c>
      <c r="F83" s="234">
        <v>9</v>
      </c>
      <c r="G83" s="235"/>
      <c r="H83" s="234"/>
      <c r="I83" s="234"/>
      <c r="J83" s="235">
        <v>100</v>
      </c>
      <c r="K83" s="225"/>
      <c r="L83" s="258"/>
    </row>
    <row r="84" spans="3:12" ht="15" x14ac:dyDescent="0.25">
      <c r="C84" s="251">
        <f t="shared" si="1"/>
        <v>68</v>
      </c>
      <c r="D84" s="250" t="s">
        <v>202</v>
      </c>
      <c r="E84" s="236">
        <f t="shared" si="2"/>
        <v>10</v>
      </c>
      <c r="F84" s="236">
        <v>10</v>
      </c>
      <c r="G84" s="235"/>
      <c r="H84" s="234"/>
      <c r="I84" s="234"/>
      <c r="J84" s="235"/>
      <c r="K84" s="225"/>
      <c r="L84" s="200"/>
    </row>
    <row r="85" spans="3:12" ht="15" x14ac:dyDescent="0.25">
      <c r="C85" s="251">
        <f t="shared" si="1"/>
        <v>69</v>
      </c>
      <c r="D85" s="250" t="s">
        <v>203</v>
      </c>
      <c r="E85" s="236">
        <f t="shared" si="2"/>
        <v>1000</v>
      </c>
      <c r="F85" s="236">
        <v>1000</v>
      </c>
      <c r="G85" s="235"/>
      <c r="H85" s="234"/>
      <c r="I85" s="234"/>
      <c r="J85" s="235"/>
      <c r="K85" s="225"/>
      <c r="L85" s="200"/>
    </row>
    <row r="86" spans="3:12" ht="15" x14ac:dyDescent="0.25">
      <c r="C86" s="251">
        <f t="shared" si="1"/>
        <v>70</v>
      </c>
      <c r="D86" s="250" t="s">
        <v>72</v>
      </c>
      <c r="E86" s="236">
        <f t="shared" si="2"/>
        <v>462.6</v>
      </c>
      <c r="F86" s="236">
        <f>252+31</f>
        <v>283</v>
      </c>
      <c r="G86" s="235"/>
      <c r="H86" s="234"/>
      <c r="I86" s="234"/>
      <c r="J86" s="235">
        <v>179.6</v>
      </c>
      <c r="K86" s="225"/>
      <c r="L86" s="200"/>
    </row>
    <row r="87" spans="3:12" ht="15" x14ac:dyDescent="0.25">
      <c r="C87" s="251">
        <f t="shared" si="1"/>
        <v>71</v>
      </c>
      <c r="D87" s="259" t="s">
        <v>580</v>
      </c>
      <c r="E87" s="228">
        <f t="shared" si="2"/>
        <v>623</v>
      </c>
      <c r="F87" s="228">
        <f>F88+F89+F90</f>
        <v>589.45699999999999</v>
      </c>
      <c r="G87" s="260"/>
      <c r="H87" s="261"/>
      <c r="I87" s="261"/>
      <c r="J87" s="231">
        <f>J88+J89+J90</f>
        <v>33.542999999999999</v>
      </c>
      <c r="K87" s="262"/>
      <c r="L87" s="200"/>
    </row>
    <row r="88" spans="3:12" ht="15" x14ac:dyDescent="0.25">
      <c r="C88" s="251">
        <f t="shared" si="1"/>
        <v>72</v>
      </c>
      <c r="D88" s="263" t="s">
        <v>234</v>
      </c>
      <c r="E88" s="236">
        <f t="shared" si="2"/>
        <v>66</v>
      </c>
      <c r="F88" s="236">
        <v>32.457000000000001</v>
      </c>
      <c r="G88" s="264"/>
      <c r="H88" s="233"/>
      <c r="I88" s="233"/>
      <c r="J88" s="235">
        <v>33.542999999999999</v>
      </c>
      <c r="K88" s="225"/>
      <c r="L88" s="200"/>
    </row>
    <row r="89" spans="3:12" ht="15" x14ac:dyDescent="0.25">
      <c r="C89" s="251">
        <f t="shared" si="1"/>
        <v>73</v>
      </c>
      <c r="D89" s="265" t="s">
        <v>442</v>
      </c>
      <c r="E89" s="236">
        <f t="shared" si="2"/>
        <v>380</v>
      </c>
      <c r="F89" s="236">
        <v>380</v>
      </c>
      <c r="G89" s="264"/>
      <c r="H89" s="233"/>
      <c r="I89" s="233"/>
      <c r="J89" s="235"/>
      <c r="K89" s="266"/>
      <c r="L89" s="200"/>
    </row>
    <row r="90" spans="3:12" ht="15" x14ac:dyDescent="0.25">
      <c r="C90" s="251">
        <f t="shared" si="1"/>
        <v>74</v>
      </c>
      <c r="D90" s="265" t="s">
        <v>443</v>
      </c>
      <c r="E90" s="236">
        <f t="shared" si="2"/>
        <v>177</v>
      </c>
      <c r="F90" s="236">
        <v>177</v>
      </c>
      <c r="G90" s="264"/>
      <c r="H90" s="233"/>
      <c r="I90" s="233"/>
      <c r="J90" s="235"/>
      <c r="K90" s="225"/>
      <c r="L90" s="200"/>
    </row>
    <row r="91" spans="3:12" ht="18.75" customHeight="1" x14ac:dyDescent="0.25">
      <c r="C91" s="251">
        <f t="shared" ref="C91:C105" si="3">C90+1</f>
        <v>75</v>
      </c>
      <c r="D91" s="253" t="s">
        <v>432</v>
      </c>
      <c r="E91" s="228">
        <f t="shared" si="2"/>
        <v>994.54600000000005</v>
      </c>
      <c r="F91" s="228">
        <f>F92+F93+F94+F96</f>
        <v>170</v>
      </c>
      <c r="G91" s="231">
        <f>G92+G93+G94+G96+G95</f>
        <v>305.77100000000002</v>
      </c>
      <c r="H91" s="230">
        <f t="shared" ref="H91:K91" si="4">H92+H93+H94+H96</f>
        <v>0</v>
      </c>
      <c r="I91" s="230">
        <f t="shared" si="4"/>
        <v>0</v>
      </c>
      <c r="J91" s="231">
        <f t="shared" si="4"/>
        <v>244.65</v>
      </c>
      <c r="K91" s="230">
        <f t="shared" si="4"/>
        <v>274.125</v>
      </c>
      <c r="L91" s="200"/>
    </row>
    <row r="92" spans="3:12" ht="15" x14ac:dyDescent="0.25">
      <c r="C92" s="251">
        <f t="shared" si="3"/>
        <v>76</v>
      </c>
      <c r="D92" s="250" t="s">
        <v>205</v>
      </c>
      <c r="E92" s="236">
        <f t="shared" si="2"/>
        <v>287.2</v>
      </c>
      <c r="F92" s="236"/>
      <c r="G92" s="235">
        <v>287.2</v>
      </c>
      <c r="H92" s="234"/>
      <c r="I92" s="234"/>
      <c r="J92" s="235"/>
      <c r="K92" s="234"/>
      <c r="L92" s="242"/>
    </row>
    <row r="93" spans="3:12" ht="15" x14ac:dyDescent="0.25">
      <c r="C93" s="251">
        <f t="shared" si="3"/>
        <v>77</v>
      </c>
      <c r="D93" s="250" t="s">
        <v>204</v>
      </c>
      <c r="E93" s="236">
        <f t="shared" si="2"/>
        <v>120</v>
      </c>
      <c r="F93" s="236">
        <v>120</v>
      </c>
      <c r="G93" s="235"/>
      <c r="H93" s="234"/>
      <c r="I93" s="234"/>
      <c r="J93" s="235"/>
      <c r="K93" s="234"/>
      <c r="L93" s="242"/>
    </row>
    <row r="94" spans="3:12" ht="30" x14ac:dyDescent="0.25">
      <c r="C94" s="251">
        <f t="shared" si="3"/>
        <v>78</v>
      </c>
      <c r="D94" s="250" t="s">
        <v>373</v>
      </c>
      <c r="E94" s="236">
        <f t="shared" si="2"/>
        <v>50</v>
      </c>
      <c r="F94" s="236">
        <v>50</v>
      </c>
      <c r="G94" s="235"/>
      <c r="H94" s="234"/>
      <c r="I94" s="234"/>
      <c r="J94" s="235"/>
      <c r="K94" s="234"/>
      <c r="L94" s="242"/>
    </row>
    <row r="95" spans="3:12" ht="15" x14ac:dyDescent="0.25">
      <c r="C95" s="251">
        <f t="shared" si="3"/>
        <v>79</v>
      </c>
      <c r="D95" s="250" t="s">
        <v>604</v>
      </c>
      <c r="E95" s="236">
        <f t="shared" si="2"/>
        <v>18.571000000000002</v>
      </c>
      <c r="F95" s="267"/>
      <c r="G95" s="235">
        <v>18.571000000000002</v>
      </c>
      <c r="H95" s="234"/>
      <c r="I95" s="234"/>
      <c r="J95" s="235"/>
      <c r="K95" s="234"/>
      <c r="L95" s="246"/>
    </row>
    <row r="96" spans="3:12" ht="15" x14ac:dyDescent="0.25">
      <c r="C96" s="251">
        <f t="shared" si="3"/>
        <v>80</v>
      </c>
      <c r="D96" s="252" t="s">
        <v>550</v>
      </c>
      <c r="E96" s="236">
        <f t="shared" si="2"/>
        <v>518.77499999999998</v>
      </c>
      <c r="F96" s="267"/>
      <c r="G96" s="235"/>
      <c r="H96" s="234"/>
      <c r="I96" s="234"/>
      <c r="J96" s="235">
        <v>244.65</v>
      </c>
      <c r="K96" s="234">
        <v>274.125</v>
      </c>
      <c r="L96" s="242"/>
    </row>
    <row r="97" spans="3:12" ht="15" x14ac:dyDescent="0.25">
      <c r="C97" s="251">
        <f t="shared" si="3"/>
        <v>81</v>
      </c>
      <c r="D97" s="268" t="s">
        <v>433</v>
      </c>
      <c r="E97" s="228">
        <f>F97+G97+H97+I97+J97+K97</f>
        <v>1226.8905500000001</v>
      </c>
      <c r="F97" s="228">
        <f>SUM(F98:F115)</f>
        <v>490.78154999999998</v>
      </c>
      <c r="G97" s="269">
        <f t="shared" ref="G97:J97" si="5">SUM(G98:G115)</f>
        <v>148</v>
      </c>
      <c r="H97" s="230">
        <f t="shared" si="5"/>
        <v>10</v>
      </c>
      <c r="I97" s="230"/>
      <c r="J97" s="231">
        <f t="shared" si="5"/>
        <v>62.555999999999997</v>
      </c>
      <c r="K97" s="230">
        <f>SUM(K98:K115)</f>
        <v>515.553</v>
      </c>
      <c r="L97" s="200"/>
    </row>
    <row r="98" spans="3:12" ht="15" x14ac:dyDescent="0.25">
      <c r="C98" s="251">
        <f t="shared" si="3"/>
        <v>82</v>
      </c>
      <c r="D98" s="256" t="s">
        <v>73</v>
      </c>
      <c r="E98" s="236">
        <f t="shared" si="2"/>
        <v>35</v>
      </c>
      <c r="F98" s="236">
        <v>35</v>
      </c>
      <c r="G98" s="235"/>
      <c r="H98" s="234"/>
      <c r="I98" s="234"/>
      <c r="J98" s="235"/>
      <c r="K98" s="234"/>
      <c r="L98" s="200"/>
    </row>
    <row r="99" spans="3:12" ht="14.25" customHeight="1" x14ac:dyDescent="0.25">
      <c r="C99" s="251">
        <f t="shared" si="3"/>
        <v>83</v>
      </c>
      <c r="D99" s="256" t="s">
        <v>221</v>
      </c>
      <c r="E99" s="236">
        <f t="shared" si="2"/>
        <v>25</v>
      </c>
      <c r="F99" s="236">
        <v>25</v>
      </c>
      <c r="G99" s="235"/>
      <c r="H99" s="234"/>
      <c r="I99" s="234"/>
      <c r="J99" s="235"/>
      <c r="K99" s="234"/>
      <c r="L99" s="200"/>
    </row>
    <row r="100" spans="3:12" ht="16.5" customHeight="1" x14ac:dyDescent="0.25">
      <c r="C100" s="251">
        <f t="shared" si="3"/>
        <v>84</v>
      </c>
      <c r="D100" s="270" t="s">
        <v>226</v>
      </c>
      <c r="E100" s="236">
        <f t="shared" si="2"/>
        <v>10</v>
      </c>
      <c r="F100" s="236"/>
      <c r="G100" s="235"/>
      <c r="H100" s="234">
        <v>10</v>
      </c>
      <c r="I100" s="234"/>
      <c r="J100" s="235"/>
      <c r="K100" s="234"/>
      <c r="L100" s="200"/>
    </row>
    <row r="101" spans="3:12" ht="15" x14ac:dyDescent="0.25">
      <c r="C101" s="251">
        <f t="shared" si="3"/>
        <v>85</v>
      </c>
      <c r="D101" s="256" t="s">
        <v>74</v>
      </c>
      <c r="E101" s="236">
        <f t="shared" si="2"/>
        <v>158</v>
      </c>
      <c r="F101" s="236">
        <v>10</v>
      </c>
      <c r="G101" s="235">
        <v>148</v>
      </c>
      <c r="H101" s="234"/>
      <c r="I101" s="234"/>
      <c r="J101" s="235"/>
      <c r="K101" s="234"/>
      <c r="L101" s="200"/>
    </row>
    <row r="102" spans="3:12" ht="15" x14ac:dyDescent="0.25">
      <c r="C102" s="251">
        <f t="shared" si="3"/>
        <v>86</v>
      </c>
      <c r="D102" s="256" t="s">
        <v>75</v>
      </c>
      <c r="E102" s="236">
        <f t="shared" si="2"/>
        <v>2</v>
      </c>
      <c r="F102" s="236">
        <v>2</v>
      </c>
      <c r="G102" s="235"/>
      <c r="H102" s="234"/>
      <c r="I102" s="234"/>
      <c r="J102" s="235"/>
      <c r="K102" s="234"/>
      <c r="L102" s="200"/>
    </row>
    <row r="103" spans="3:12" ht="15" customHeight="1" x14ac:dyDescent="0.25">
      <c r="C103" s="251">
        <f t="shared" si="3"/>
        <v>87</v>
      </c>
      <c r="D103" s="256" t="s">
        <v>251</v>
      </c>
      <c r="E103" s="236">
        <f t="shared" si="2"/>
        <v>4.7</v>
      </c>
      <c r="F103" s="236">
        <v>4.7</v>
      </c>
      <c r="G103" s="235"/>
      <c r="H103" s="234"/>
      <c r="I103" s="234"/>
      <c r="J103" s="235"/>
      <c r="K103" s="234"/>
      <c r="L103" s="200"/>
    </row>
    <row r="104" spans="3:12" ht="30" customHeight="1" x14ac:dyDescent="0.25">
      <c r="C104" s="251">
        <f t="shared" si="3"/>
        <v>88</v>
      </c>
      <c r="D104" s="250" t="s">
        <v>640</v>
      </c>
      <c r="E104" s="236">
        <f t="shared" si="2"/>
        <v>6.8155500000000018</v>
      </c>
      <c r="F104" s="232">
        <f>23-16.18445</f>
        <v>6.8155500000000018</v>
      </c>
      <c r="G104" s="235"/>
      <c r="H104" s="234"/>
      <c r="I104" s="234"/>
      <c r="J104" s="235"/>
      <c r="K104" s="234"/>
      <c r="L104" s="200"/>
    </row>
    <row r="105" spans="3:12" ht="30" x14ac:dyDescent="0.25">
      <c r="C105" s="251">
        <f t="shared" si="3"/>
        <v>89</v>
      </c>
      <c r="D105" s="250" t="s">
        <v>625</v>
      </c>
      <c r="E105" s="236">
        <f t="shared" si="2"/>
        <v>30</v>
      </c>
      <c r="F105" s="236">
        <v>30</v>
      </c>
      <c r="G105" s="235"/>
      <c r="H105" s="234"/>
      <c r="I105" s="234"/>
      <c r="J105" s="235"/>
      <c r="K105" s="234"/>
      <c r="L105" s="200"/>
    </row>
    <row r="106" spans="3:12" ht="15" x14ac:dyDescent="0.25">
      <c r="C106" s="251">
        <f t="shared" ref="C106:C156" si="6">C105+1</f>
        <v>90</v>
      </c>
      <c r="D106" s="250" t="s">
        <v>214</v>
      </c>
      <c r="E106" s="236">
        <f t="shared" si="2"/>
        <v>70</v>
      </c>
      <c r="F106" s="236">
        <v>70</v>
      </c>
      <c r="G106" s="235"/>
      <c r="H106" s="234"/>
      <c r="I106" s="234"/>
      <c r="J106" s="235"/>
      <c r="K106" s="234"/>
      <c r="L106" s="200"/>
    </row>
    <row r="107" spans="3:12" ht="17.25" customHeight="1" x14ac:dyDescent="0.25">
      <c r="C107" s="251">
        <f t="shared" si="6"/>
        <v>91</v>
      </c>
      <c r="D107" s="250" t="s">
        <v>398</v>
      </c>
      <c r="E107" s="236">
        <f t="shared" si="2"/>
        <v>30</v>
      </c>
      <c r="F107" s="236">
        <v>30</v>
      </c>
      <c r="G107" s="235"/>
      <c r="H107" s="234"/>
      <c r="I107" s="234"/>
      <c r="J107" s="235"/>
      <c r="K107" s="234"/>
      <c r="L107" s="200"/>
    </row>
    <row r="108" spans="3:12" ht="16.5" customHeight="1" x14ac:dyDescent="0.25">
      <c r="C108" s="251">
        <f t="shared" si="6"/>
        <v>92</v>
      </c>
      <c r="D108" s="256" t="s">
        <v>76</v>
      </c>
      <c r="E108" s="236">
        <f t="shared" si="2"/>
        <v>15.1</v>
      </c>
      <c r="F108" s="236">
        <v>15.1</v>
      </c>
      <c r="G108" s="235"/>
      <c r="H108" s="234"/>
      <c r="I108" s="234"/>
      <c r="J108" s="235"/>
      <c r="K108" s="234"/>
      <c r="L108" s="200"/>
    </row>
    <row r="109" spans="3:12" ht="16.5" customHeight="1" x14ac:dyDescent="0.25">
      <c r="C109" s="251">
        <f t="shared" si="6"/>
        <v>93</v>
      </c>
      <c r="D109" s="250" t="s">
        <v>261</v>
      </c>
      <c r="E109" s="236">
        <f t="shared" si="2"/>
        <v>14</v>
      </c>
      <c r="F109" s="236">
        <v>14</v>
      </c>
      <c r="G109" s="235"/>
      <c r="H109" s="234"/>
      <c r="I109" s="234"/>
      <c r="J109" s="235"/>
      <c r="K109" s="234"/>
      <c r="L109" s="200"/>
    </row>
    <row r="110" spans="3:12" ht="15" customHeight="1" x14ac:dyDescent="0.25">
      <c r="C110" s="251">
        <f t="shared" si="6"/>
        <v>94</v>
      </c>
      <c r="D110" s="250" t="s">
        <v>235</v>
      </c>
      <c r="E110" s="236">
        <f t="shared" si="2"/>
        <v>25</v>
      </c>
      <c r="F110" s="236">
        <f>21+4</f>
        <v>25</v>
      </c>
      <c r="G110" s="235"/>
      <c r="H110" s="234"/>
      <c r="I110" s="234"/>
      <c r="J110" s="235"/>
      <c r="K110" s="234"/>
      <c r="L110" s="200"/>
    </row>
    <row r="111" spans="3:12" ht="15.75" customHeight="1" x14ac:dyDescent="0.25">
      <c r="C111" s="251">
        <f t="shared" si="6"/>
        <v>95</v>
      </c>
      <c r="D111" s="250" t="s">
        <v>209</v>
      </c>
      <c r="E111" s="236">
        <f t="shared" si="2"/>
        <v>24</v>
      </c>
      <c r="F111" s="236">
        <v>24</v>
      </c>
      <c r="G111" s="235"/>
      <c r="H111" s="234"/>
      <c r="I111" s="234"/>
      <c r="J111" s="235"/>
      <c r="K111" s="234"/>
      <c r="L111" s="200"/>
    </row>
    <row r="112" spans="3:12" ht="13.5" customHeight="1" x14ac:dyDescent="0.25">
      <c r="C112" s="251">
        <f t="shared" si="6"/>
        <v>96</v>
      </c>
      <c r="D112" s="250" t="s">
        <v>206</v>
      </c>
      <c r="E112" s="236">
        <f t="shared" si="2"/>
        <v>12.5</v>
      </c>
      <c r="F112" s="236">
        <v>12.5</v>
      </c>
      <c r="G112" s="235"/>
      <c r="H112" s="234"/>
      <c r="I112" s="234"/>
      <c r="J112" s="235"/>
      <c r="K112" s="234"/>
      <c r="L112" s="200"/>
    </row>
    <row r="113" spans="3:12" ht="13.5" customHeight="1" x14ac:dyDescent="0.25">
      <c r="C113" s="251">
        <f t="shared" si="6"/>
        <v>97</v>
      </c>
      <c r="D113" s="256" t="s">
        <v>213</v>
      </c>
      <c r="E113" s="236">
        <f t="shared" si="2"/>
        <v>33</v>
      </c>
      <c r="F113" s="236">
        <v>33</v>
      </c>
      <c r="G113" s="235"/>
      <c r="H113" s="234"/>
      <c r="I113" s="234"/>
      <c r="J113" s="235"/>
      <c r="K113" s="234"/>
      <c r="L113" s="200"/>
    </row>
    <row r="114" spans="3:12" ht="15" customHeight="1" x14ac:dyDescent="0.25">
      <c r="C114" s="251">
        <f t="shared" si="6"/>
        <v>98</v>
      </c>
      <c r="D114" s="250" t="s">
        <v>259</v>
      </c>
      <c r="E114" s="236">
        <f t="shared" si="2"/>
        <v>7</v>
      </c>
      <c r="F114" s="236">
        <v>7</v>
      </c>
      <c r="G114" s="235"/>
      <c r="H114" s="234"/>
      <c r="I114" s="234"/>
      <c r="J114" s="235"/>
      <c r="K114" s="234"/>
      <c r="L114" s="200"/>
    </row>
    <row r="115" spans="3:12" ht="15" customHeight="1" x14ac:dyDescent="0.25">
      <c r="C115" s="251">
        <f t="shared" si="6"/>
        <v>99</v>
      </c>
      <c r="D115" s="252" t="s">
        <v>550</v>
      </c>
      <c r="E115" s="236">
        <f t="shared" si="2"/>
        <v>724.77499999999998</v>
      </c>
      <c r="F115" s="236">
        <v>146.666</v>
      </c>
      <c r="G115" s="235"/>
      <c r="H115" s="234"/>
      <c r="I115" s="234"/>
      <c r="J115" s="235">
        <v>62.555999999999997</v>
      </c>
      <c r="K115" s="234">
        <v>515.553</v>
      </c>
      <c r="L115" s="200"/>
    </row>
    <row r="116" spans="3:12" ht="15" customHeight="1" x14ac:dyDescent="0.25">
      <c r="C116" s="251">
        <f t="shared" si="6"/>
        <v>100</v>
      </c>
      <c r="D116" s="271" t="s">
        <v>434</v>
      </c>
      <c r="E116" s="228">
        <f t="shared" si="2"/>
        <v>353.19200000000001</v>
      </c>
      <c r="F116" s="228">
        <f>SUM(F117:F124)</f>
        <v>242</v>
      </c>
      <c r="G116" s="269"/>
      <c r="H116" s="230"/>
      <c r="I116" s="230"/>
      <c r="J116" s="231">
        <f t="shared" ref="J116" si="7">SUM(J117:J124)</f>
        <v>111.19199999999999</v>
      </c>
      <c r="K116" s="230"/>
      <c r="L116" s="200"/>
    </row>
    <row r="117" spans="3:12" ht="14.25" customHeight="1" x14ac:dyDescent="0.25">
      <c r="C117" s="251">
        <f t="shared" si="6"/>
        <v>101</v>
      </c>
      <c r="D117" s="250" t="s">
        <v>60</v>
      </c>
      <c r="E117" s="236">
        <f t="shared" si="2"/>
        <v>16</v>
      </c>
      <c r="F117" s="236">
        <v>16</v>
      </c>
      <c r="G117" s="235"/>
      <c r="H117" s="234"/>
      <c r="I117" s="234"/>
      <c r="J117" s="235"/>
      <c r="K117" s="234"/>
      <c r="L117" s="200"/>
    </row>
    <row r="118" spans="3:12" ht="15" x14ac:dyDescent="0.25">
      <c r="C118" s="251">
        <f t="shared" si="6"/>
        <v>102</v>
      </c>
      <c r="D118" s="250" t="s">
        <v>236</v>
      </c>
      <c r="E118" s="236">
        <f t="shared" si="2"/>
        <v>85</v>
      </c>
      <c r="F118" s="236">
        <v>85</v>
      </c>
      <c r="G118" s="235"/>
      <c r="H118" s="234"/>
      <c r="I118" s="234"/>
      <c r="J118" s="235"/>
      <c r="K118" s="234"/>
      <c r="L118" s="200"/>
    </row>
    <row r="119" spans="3:12" ht="18" customHeight="1" x14ac:dyDescent="0.25">
      <c r="C119" s="251">
        <f t="shared" si="6"/>
        <v>103</v>
      </c>
      <c r="D119" s="250" t="s">
        <v>399</v>
      </c>
      <c r="E119" s="236">
        <f t="shared" si="2"/>
        <v>20</v>
      </c>
      <c r="F119" s="236">
        <v>20</v>
      </c>
      <c r="G119" s="235"/>
      <c r="H119" s="234"/>
      <c r="I119" s="234"/>
      <c r="J119" s="235"/>
      <c r="K119" s="234"/>
      <c r="L119" s="200"/>
    </row>
    <row r="120" spans="3:12" ht="16.5" customHeight="1" x14ac:dyDescent="0.25">
      <c r="C120" s="251">
        <f t="shared" si="6"/>
        <v>104</v>
      </c>
      <c r="D120" s="250" t="s">
        <v>237</v>
      </c>
      <c r="E120" s="236">
        <f t="shared" si="2"/>
        <v>60</v>
      </c>
      <c r="F120" s="236">
        <f>50+10</f>
        <v>60</v>
      </c>
      <c r="G120" s="235"/>
      <c r="H120" s="234"/>
      <c r="I120" s="234"/>
      <c r="J120" s="235"/>
      <c r="K120" s="234"/>
      <c r="L120" s="200"/>
    </row>
    <row r="121" spans="3:12" ht="30" x14ac:dyDescent="0.25">
      <c r="C121" s="251">
        <f t="shared" si="6"/>
        <v>105</v>
      </c>
      <c r="D121" s="250" t="s">
        <v>240</v>
      </c>
      <c r="E121" s="236">
        <f t="shared" si="2"/>
        <v>20</v>
      </c>
      <c r="F121" s="236">
        <v>20</v>
      </c>
      <c r="G121" s="235"/>
      <c r="H121" s="234"/>
      <c r="I121" s="234"/>
      <c r="J121" s="235"/>
      <c r="K121" s="234"/>
      <c r="L121" s="200"/>
    </row>
    <row r="122" spans="3:12" ht="16.5" customHeight="1" x14ac:dyDescent="0.25">
      <c r="C122" s="251">
        <f t="shared" si="6"/>
        <v>106</v>
      </c>
      <c r="D122" s="250" t="s">
        <v>238</v>
      </c>
      <c r="E122" s="236">
        <f t="shared" si="2"/>
        <v>30</v>
      </c>
      <c r="F122" s="236">
        <v>30</v>
      </c>
      <c r="G122" s="235"/>
      <c r="H122" s="234"/>
      <c r="I122" s="234"/>
      <c r="J122" s="235"/>
      <c r="K122" s="234"/>
      <c r="L122" s="200"/>
    </row>
    <row r="123" spans="3:12" ht="30" x14ac:dyDescent="0.25">
      <c r="C123" s="251">
        <f t="shared" si="6"/>
        <v>107</v>
      </c>
      <c r="D123" s="250" t="s">
        <v>239</v>
      </c>
      <c r="E123" s="236">
        <f t="shared" si="2"/>
        <v>11</v>
      </c>
      <c r="F123" s="236">
        <v>11</v>
      </c>
      <c r="G123" s="235"/>
      <c r="H123" s="234"/>
      <c r="I123" s="234"/>
      <c r="J123" s="235"/>
      <c r="K123" s="234"/>
      <c r="L123" s="200"/>
    </row>
    <row r="124" spans="3:12" ht="13.5" customHeight="1" x14ac:dyDescent="0.25">
      <c r="C124" s="251">
        <f t="shared" si="6"/>
        <v>108</v>
      </c>
      <c r="D124" s="252" t="s">
        <v>550</v>
      </c>
      <c r="E124" s="234">
        <f t="shared" si="2"/>
        <v>111.19199999999999</v>
      </c>
      <c r="F124" s="272"/>
      <c r="G124" s="235"/>
      <c r="H124" s="234"/>
      <c r="I124" s="234"/>
      <c r="J124" s="235">
        <v>111.19199999999999</v>
      </c>
      <c r="K124" s="234"/>
      <c r="L124" s="258"/>
    </row>
    <row r="125" spans="3:12" ht="17.25" customHeight="1" x14ac:dyDescent="0.25">
      <c r="C125" s="251">
        <f t="shared" si="6"/>
        <v>109</v>
      </c>
      <c r="D125" s="253" t="s">
        <v>1</v>
      </c>
      <c r="E125" s="228">
        <f t="shared" si="2"/>
        <v>1562.57</v>
      </c>
      <c r="F125" s="228">
        <v>117.57</v>
      </c>
      <c r="G125" s="231">
        <v>1445</v>
      </c>
      <c r="H125" s="230"/>
      <c r="I125" s="230"/>
      <c r="J125" s="231"/>
      <c r="K125" s="230"/>
      <c r="L125" s="200"/>
    </row>
    <row r="126" spans="3:12" ht="15.75" customHeight="1" x14ac:dyDescent="0.25">
      <c r="C126" s="251">
        <f t="shared" si="6"/>
        <v>110</v>
      </c>
      <c r="D126" s="253" t="s">
        <v>3</v>
      </c>
      <c r="E126" s="227">
        <f t="shared" si="2"/>
        <v>849.92475999999999</v>
      </c>
      <c r="F126" s="227">
        <f>719.312+47.42376</f>
        <v>766.73576000000003</v>
      </c>
      <c r="G126" s="231"/>
      <c r="H126" s="230"/>
      <c r="I126" s="230">
        <f>45.8+25</f>
        <v>70.8</v>
      </c>
      <c r="J126" s="231">
        <v>12.388999999999999</v>
      </c>
      <c r="K126" s="230"/>
      <c r="L126" s="200"/>
    </row>
    <row r="127" spans="3:12" ht="15" x14ac:dyDescent="0.25">
      <c r="C127" s="251">
        <f t="shared" si="6"/>
        <v>111</v>
      </c>
      <c r="D127" s="273" t="s">
        <v>4</v>
      </c>
      <c r="E127" s="228">
        <f t="shared" si="2"/>
        <v>1078.0339999999999</v>
      </c>
      <c r="F127" s="228">
        <v>970.56899999999996</v>
      </c>
      <c r="G127" s="231"/>
      <c r="H127" s="230"/>
      <c r="I127" s="230">
        <v>74</v>
      </c>
      <c r="J127" s="231">
        <v>33.465000000000003</v>
      </c>
      <c r="K127" s="230"/>
      <c r="L127" s="200"/>
    </row>
    <row r="128" spans="3:12" ht="15" x14ac:dyDescent="0.25">
      <c r="C128" s="251">
        <f t="shared" si="6"/>
        <v>112</v>
      </c>
      <c r="D128" s="274" t="s">
        <v>644</v>
      </c>
      <c r="E128" s="237">
        <f t="shared" si="2"/>
        <v>151.41900000000001</v>
      </c>
      <c r="F128" s="275">
        <v>116.92400000000001</v>
      </c>
      <c r="G128" s="231"/>
      <c r="H128" s="230"/>
      <c r="I128" s="225">
        <v>18</v>
      </c>
      <c r="J128" s="276">
        <v>16.495000000000001</v>
      </c>
      <c r="K128" s="230"/>
      <c r="L128" s="200"/>
    </row>
    <row r="129" spans="3:12" ht="15" x14ac:dyDescent="0.25">
      <c r="C129" s="251">
        <f t="shared" si="6"/>
        <v>113</v>
      </c>
      <c r="D129" s="277" t="s">
        <v>254</v>
      </c>
      <c r="E129" s="228">
        <f t="shared" si="2"/>
        <v>1273.585</v>
      </c>
      <c r="F129" s="228">
        <v>1233.17</v>
      </c>
      <c r="G129" s="231">
        <v>35.996000000000002</v>
      </c>
      <c r="H129" s="230"/>
      <c r="I129" s="230">
        <v>4.0999999999999996</v>
      </c>
      <c r="J129" s="231">
        <v>0.31900000000000001</v>
      </c>
      <c r="K129" s="230"/>
      <c r="L129" s="200"/>
    </row>
    <row r="130" spans="3:12" ht="15" x14ac:dyDescent="0.25">
      <c r="C130" s="251">
        <f t="shared" si="6"/>
        <v>114</v>
      </c>
      <c r="D130" s="253" t="s">
        <v>79</v>
      </c>
      <c r="E130" s="228">
        <f t="shared" si="2"/>
        <v>854.14519000000007</v>
      </c>
      <c r="F130" s="227">
        <f>801.667+8.59919</f>
        <v>810.26619000000005</v>
      </c>
      <c r="G130" s="231"/>
      <c r="H130" s="230"/>
      <c r="I130" s="230">
        <v>24</v>
      </c>
      <c r="J130" s="231">
        <v>19.879000000000001</v>
      </c>
      <c r="K130" s="230"/>
      <c r="L130" s="200"/>
    </row>
    <row r="131" spans="3:12" ht="15" x14ac:dyDescent="0.25">
      <c r="C131" s="251">
        <f t="shared" si="6"/>
        <v>115</v>
      </c>
      <c r="D131" s="271" t="s">
        <v>25</v>
      </c>
      <c r="E131" s="227">
        <f t="shared" si="2"/>
        <v>801.84759000000008</v>
      </c>
      <c r="F131" s="227">
        <f>1321.652-433-43.7-310.01157</f>
        <v>534.94042999999999</v>
      </c>
      <c r="G131" s="859">
        <f>81.2+43.7+34.34+2.256-96.28128</f>
        <v>65.214720000000014</v>
      </c>
      <c r="H131" s="230"/>
      <c r="I131" s="860">
        <f>175.133-34.18456</f>
        <v>140.94844000000001</v>
      </c>
      <c r="J131" s="231">
        <v>60.744</v>
      </c>
      <c r="K131" s="230"/>
      <c r="L131" s="200"/>
    </row>
    <row r="132" spans="3:12" ht="15" x14ac:dyDescent="0.25">
      <c r="C132" s="251">
        <f t="shared" si="6"/>
        <v>116</v>
      </c>
      <c r="D132" s="257" t="s">
        <v>6</v>
      </c>
      <c r="E132" s="228">
        <f t="shared" si="2"/>
        <v>552</v>
      </c>
      <c r="F132" s="228">
        <f>24.426+1.554</f>
        <v>25.979999999999997</v>
      </c>
      <c r="G132" s="231">
        <v>316.08</v>
      </c>
      <c r="H132" s="230"/>
      <c r="I132" s="230">
        <v>209.94</v>
      </c>
      <c r="J132" s="231"/>
      <c r="K132" s="230"/>
      <c r="L132" s="200"/>
    </row>
    <row r="133" spans="3:12" ht="15" x14ac:dyDescent="0.25">
      <c r="C133" s="251">
        <f t="shared" si="6"/>
        <v>117</v>
      </c>
      <c r="D133" s="257" t="s">
        <v>212</v>
      </c>
      <c r="E133" s="228">
        <f t="shared" si="2"/>
        <v>769.28099999999995</v>
      </c>
      <c r="F133" s="278">
        <f>281.153-219.094</f>
        <v>62.059000000000026</v>
      </c>
      <c r="G133" s="231">
        <v>238.12799999999999</v>
      </c>
      <c r="H133" s="230"/>
      <c r="I133" s="230">
        <v>250</v>
      </c>
      <c r="J133" s="279">
        <v>219.09399999999999</v>
      </c>
      <c r="K133" s="230"/>
      <c r="L133" s="200"/>
    </row>
    <row r="134" spans="3:12" ht="15" x14ac:dyDescent="0.25">
      <c r="C134" s="251">
        <f t="shared" si="6"/>
        <v>118</v>
      </c>
      <c r="D134" s="257" t="s">
        <v>230</v>
      </c>
      <c r="E134" s="227">
        <f t="shared" ref="E134:E174" si="8">F134+G134+H134+I134+J134+K134</f>
        <v>976.05715999999984</v>
      </c>
      <c r="F134" s="227">
        <f>1362.485-31.3-700.25759</f>
        <v>630.9274099999999</v>
      </c>
      <c r="G134" s="229">
        <f>480+111+75-43.7+15.352-316.44496</f>
        <v>321.20703999999995</v>
      </c>
      <c r="H134" s="230"/>
      <c r="I134" s="860">
        <f>48.38-37.94804</f>
        <v>10.431960000000004</v>
      </c>
      <c r="J134" s="229">
        <f>19.223-5.73225</f>
        <v>13.490749999999998</v>
      </c>
      <c r="K134" s="230"/>
      <c r="L134" s="200"/>
    </row>
    <row r="135" spans="3:12" ht="15" x14ac:dyDescent="0.25">
      <c r="C135" s="251">
        <v>117</v>
      </c>
      <c r="D135" s="257" t="s">
        <v>693</v>
      </c>
      <c r="E135" s="227">
        <f t="shared" si="8"/>
        <v>1453.43649</v>
      </c>
      <c r="F135" s="831">
        <v>962.84540000000004</v>
      </c>
      <c r="G135" s="832">
        <v>412.72624000000002</v>
      </c>
      <c r="H135" s="230"/>
      <c r="I135" s="858">
        <v>72.132599999999996</v>
      </c>
      <c r="J135" s="861">
        <v>5.7322499999999996</v>
      </c>
      <c r="K135" s="230"/>
      <c r="L135" s="258"/>
    </row>
    <row r="136" spans="3:12" ht="15" x14ac:dyDescent="0.25">
      <c r="C136" s="251">
        <v>118</v>
      </c>
      <c r="D136" s="253" t="s">
        <v>7</v>
      </c>
      <c r="E136" s="228">
        <f t="shared" si="8"/>
        <v>135.73399999999998</v>
      </c>
      <c r="F136" s="228">
        <f>95.451+15-0.274</f>
        <v>110.17699999999999</v>
      </c>
      <c r="G136" s="231">
        <v>24.26</v>
      </c>
      <c r="H136" s="230"/>
      <c r="I136" s="230">
        <v>0.7</v>
      </c>
      <c r="J136" s="231">
        <v>0.59699999999999998</v>
      </c>
      <c r="K136" s="230"/>
      <c r="L136" s="200"/>
    </row>
    <row r="137" spans="3:12" ht="15" x14ac:dyDescent="0.25">
      <c r="C137" s="251">
        <v>119</v>
      </c>
      <c r="D137" s="253" t="s">
        <v>8</v>
      </c>
      <c r="E137" s="228">
        <f t="shared" si="8"/>
        <v>80.570000000000007</v>
      </c>
      <c r="F137" s="228">
        <f>61.606-0.274</f>
        <v>61.332000000000001</v>
      </c>
      <c r="G137" s="231">
        <v>15.46</v>
      </c>
      <c r="H137" s="230"/>
      <c r="I137" s="230">
        <v>3.5</v>
      </c>
      <c r="J137" s="231">
        <v>0.27800000000000002</v>
      </c>
      <c r="K137" s="230"/>
      <c r="L137" s="200"/>
    </row>
    <row r="138" spans="3:12" ht="15" x14ac:dyDescent="0.25">
      <c r="C138" s="251">
        <f t="shared" si="6"/>
        <v>120</v>
      </c>
      <c r="D138" s="253" t="s">
        <v>9</v>
      </c>
      <c r="E138" s="228">
        <f t="shared" si="8"/>
        <v>209.131</v>
      </c>
      <c r="F138" s="228">
        <f>180.326-0.5</f>
        <v>179.82599999999999</v>
      </c>
      <c r="G138" s="231">
        <v>20.3</v>
      </c>
      <c r="H138" s="230"/>
      <c r="I138" s="230">
        <v>4</v>
      </c>
      <c r="J138" s="231">
        <v>5.0049999999999999</v>
      </c>
      <c r="K138" s="230"/>
      <c r="L138" s="200"/>
    </row>
    <row r="139" spans="3:12" ht="15" x14ac:dyDescent="0.25">
      <c r="C139" s="251">
        <f t="shared" si="6"/>
        <v>121</v>
      </c>
      <c r="D139" s="253" t="s">
        <v>10</v>
      </c>
      <c r="E139" s="228">
        <f t="shared" si="8"/>
        <v>15.813999999999998</v>
      </c>
      <c r="F139" s="228">
        <f>12.112-0.3</f>
        <v>11.811999999999999</v>
      </c>
      <c r="G139" s="231">
        <v>3.96</v>
      </c>
      <c r="H139" s="230"/>
      <c r="I139" s="230"/>
      <c r="J139" s="231">
        <v>4.2000000000000003E-2</v>
      </c>
      <c r="K139" s="230"/>
      <c r="L139" s="200"/>
    </row>
    <row r="140" spans="3:12" ht="15" customHeight="1" x14ac:dyDescent="0.25">
      <c r="C140" s="251">
        <f t="shared" si="6"/>
        <v>122</v>
      </c>
      <c r="D140" s="253" t="s">
        <v>11</v>
      </c>
      <c r="E140" s="228">
        <f t="shared" si="8"/>
        <v>84.822000000000003</v>
      </c>
      <c r="F140" s="228">
        <f>63.907-0.41</f>
        <v>63.497</v>
      </c>
      <c r="G140" s="231">
        <v>10.119999999999999</v>
      </c>
      <c r="H140" s="230"/>
      <c r="I140" s="230">
        <v>3.12</v>
      </c>
      <c r="J140" s="231">
        <v>8.0850000000000009</v>
      </c>
      <c r="K140" s="230"/>
      <c r="L140" s="200"/>
    </row>
    <row r="141" spans="3:12" ht="15" x14ac:dyDescent="0.25">
      <c r="C141" s="251">
        <f t="shared" si="6"/>
        <v>123</v>
      </c>
      <c r="D141" s="277" t="s">
        <v>12</v>
      </c>
      <c r="E141" s="228">
        <f t="shared" si="8"/>
        <v>108.33599999999998</v>
      </c>
      <c r="F141" s="228">
        <f>79.576-0.4</f>
        <v>79.175999999999988</v>
      </c>
      <c r="G141" s="231">
        <v>28.66</v>
      </c>
      <c r="H141" s="230"/>
      <c r="I141" s="230">
        <v>0.5</v>
      </c>
      <c r="J141" s="231"/>
      <c r="K141" s="230"/>
      <c r="L141" s="200"/>
    </row>
    <row r="142" spans="3:12" ht="15" x14ac:dyDescent="0.25">
      <c r="C142" s="251">
        <f t="shared" si="6"/>
        <v>124</v>
      </c>
      <c r="D142" s="253" t="s">
        <v>82</v>
      </c>
      <c r="E142" s="228">
        <f t="shared" si="8"/>
        <v>104.27900000000001</v>
      </c>
      <c r="F142" s="228">
        <f>79.095-0.41</f>
        <v>78.685000000000002</v>
      </c>
      <c r="G142" s="231">
        <v>24.26</v>
      </c>
      <c r="H142" s="230"/>
      <c r="I142" s="230">
        <v>0.5</v>
      </c>
      <c r="J142" s="231">
        <v>0.83399999999999996</v>
      </c>
      <c r="K142" s="230"/>
      <c r="L142" s="200"/>
    </row>
    <row r="143" spans="3:12" ht="15" x14ac:dyDescent="0.25">
      <c r="C143" s="251">
        <f t="shared" si="6"/>
        <v>125</v>
      </c>
      <c r="D143" s="253" t="s">
        <v>14</v>
      </c>
      <c r="E143" s="228">
        <f t="shared" si="8"/>
        <v>30.819000000000003</v>
      </c>
      <c r="F143" s="228">
        <f>21.073-0.2</f>
        <v>20.873000000000001</v>
      </c>
      <c r="G143" s="231">
        <v>8.8000000000000007</v>
      </c>
      <c r="H143" s="230"/>
      <c r="I143" s="230">
        <v>0.55200000000000005</v>
      </c>
      <c r="J143" s="231">
        <v>0.59399999999999997</v>
      </c>
      <c r="K143" s="230"/>
      <c r="L143" s="200"/>
    </row>
    <row r="144" spans="3:12" ht="15" x14ac:dyDescent="0.25">
      <c r="C144" s="251">
        <f t="shared" si="6"/>
        <v>126</v>
      </c>
      <c r="D144" s="253" t="s">
        <v>26</v>
      </c>
      <c r="E144" s="228">
        <f t="shared" si="8"/>
        <v>103.03500000000001</v>
      </c>
      <c r="F144" s="228">
        <f>57.807-0.44+6</f>
        <v>63.367000000000004</v>
      </c>
      <c r="G144" s="231">
        <v>34.380000000000003</v>
      </c>
      <c r="H144" s="230"/>
      <c r="I144" s="230">
        <v>1.58</v>
      </c>
      <c r="J144" s="231">
        <v>3.7080000000000002</v>
      </c>
      <c r="K144" s="230"/>
      <c r="L144" s="200"/>
    </row>
    <row r="145" spans="3:15" ht="15.75" customHeight="1" thickBot="1" x14ac:dyDescent="0.3">
      <c r="C145" s="280">
        <f t="shared" si="6"/>
        <v>127</v>
      </c>
      <c r="D145" s="277" t="s">
        <v>15</v>
      </c>
      <c r="E145" s="281">
        <f t="shared" si="8"/>
        <v>852.78599999999994</v>
      </c>
      <c r="F145" s="281">
        <f>552.425-0.29+200</f>
        <v>752.13499999999999</v>
      </c>
      <c r="G145" s="282">
        <v>95.48</v>
      </c>
      <c r="H145" s="281"/>
      <c r="I145" s="281">
        <v>1.968</v>
      </c>
      <c r="J145" s="282">
        <v>3.2029999999999998</v>
      </c>
      <c r="K145" s="281"/>
      <c r="L145" s="283"/>
    </row>
    <row r="146" spans="3:15" ht="20.25" customHeight="1" thickBot="1" x14ac:dyDescent="0.25">
      <c r="C146" s="305">
        <f t="shared" si="6"/>
        <v>128</v>
      </c>
      <c r="D146" s="306" t="s">
        <v>424</v>
      </c>
      <c r="E146" s="307">
        <f>F146+G146+H146+I146+J146+K146+L146</f>
        <v>37765.932499999995</v>
      </c>
      <c r="F146" s="308">
        <f t="shared" ref="F146:L146" si="9">F17+F19+F27+F28+F54+F63+F72+F77+F91+F97+F116+SUM(F125:F127)+SUM(F129:F145)+F87</f>
        <v>23077.784739999999</v>
      </c>
      <c r="G146" s="309">
        <f t="shared" si="9"/>
        <v>9697.9887600000002</v>
      </c>
      <c r="H146" s="308">
        <f t="shared" si="9"/>
        <v>10</v>
      </c>
      <c r="I146" s="310">
        <f t="shared" si="9"/>
        <v>922.77300000000014</v>
      </c>
      <c r="J146" s="308">
        <f t="shared" si="9"/>
        <v>3041.8850000000002</v>
      </c>
      <c r="K146" s="310">
        <f t="shared" si="9"/>
        <v>905.50099999999998</v>
      </c>
      <c r="L146" s="308">
        <f t="shared" si="9"/>
        <v>110</v>
      </c>
    </row>
    <row r="147" spans="3:15" ht="15" x14ac:dyDescent="0.25">
      <c r="C147" s="284">
        <f t="shared" si="6"/>
        <v>129</v>
      </c>
      <c r="D147" s="285" t="s">
        <v>245</v>
      </c>
      <c r="E147" s="217">
        <f t="shared" si="8"/>
        <v>762.32299999999998</v>
      </c>
      <c r="F147" s="286">
        <v>447.83300000000003</v>
      </c>
      <c r="G147" s="287">
        <f>11.399+1.44</f>
        <v>12.838999999999999</v>
      </c>
      <c r="H147" s="286">
        <v>265.48200000000003</v>
      </c>
      <c r="I147" s="287">
        <v>30</v>
      </c>
      <c r="J147" s="286">
        <v>6.1689999999999996</v>
      </c>
      <c r="K147" s="287"/>
      <c r="L147" s="288"/>
    </row>
    <row r="148" spans="3:15" ht="15" x14ac:dyDescent="0.25">
      <c r="C148" s="219">
        <f t="shared" si="6"/>
        <v>130</v>
      </c>
      <c r="D148" s="226" t="s">
        <v>246</v>
      </c>
      <c r="E148" s="228">
        <f t="shared" si="8"/>
        <v>1294.9830000000002</v>
      </c>
      <c r="F148" s="228">
        <v>756.11599999999999</v>
      </c>
      <c r="G148" s="289">
        <f>7.599+2.16</f>
        <v>9.7590000000000003</v>
      </c>
      <c r="H148" s="228">
        <v>469.95</v>
      </c>
      <c r="I148" s="289">
        <v>55.027999999999999</v>
      </c>
      <c r="J148" s="228">
        <v>4.13</v>
      </c>
      <c r="K148" s="289"/>
      <c r="L148" s="200"/>
    </row>
    <row r="149" spans="3:15" ht="15" x14ac:dyDescent="0.25">
      <c r="C149" s="219">
        <f t="shared" si="6"/>
        <v>131</v>
      </c>
      <c r="D149" s="226" t="s">
        <v>247</v>
      </c>
      <c r="E149" s="228">
        <f t="shared" si="8"/>
        <v>550.74599999999998</v>
      </c>
      <c r="F149" s="228">
        <v>327.625</v>
      </c>
      <c r="G149" s="289">
        <f>7.599+0.72</f>
        <v>8.3190000000000008</v>
      </c>
      <c r="H149" s="228">
        <v>193.74299999999999</v>
      </c>
      <c r="I149" s="289">
        <v>17.5</v>
      </c>
      <c r="J149" s="228">
        <v>3.5590000000000002</v>
      </c>
      <c r="K149" s="289"/>
      <c r="L149" s="200"/>
    </row>
    <row r="150" spans="3:15" ht="15.75" customHeight="1" x14ac:dyDescent="0.25">
      <c r="C150" s="219">
        <f t="shared" si="6"/>
        <v>132</v>
      </c>
      <c r="D150" s="226" t="s">
        <v>248</v>
      </c>
      <c r="E150" s="228">
        <f t="shared" si="8"/>
        <v>1004.5269999999999</v>
      </c>
      <c r="F150" s="228">
        <f>510.466+15</f>
        <v>525.46600000000001</v>
      </c>
      <c r="G150" s="289">
        <v>0.72</v>
      </c>
      <c r="H150" s="228">
        <v>424.642</v>
      </c>
      <c r="I150" s="289">
        <v>50</v>
      </c>
      <c r="J150" s="228">
        <v>3.6989999999999998</v>
      </c>
      <c r="K150" s="289"/>
      <c r="L150" s="200"/>
    </row>
    <row r="151" spans="3:15" ht="18" customHeight="1" x14ac:dyDescent="0.25">
      <c r="C151" s="219">
        <f t="shared" si="6"/>
        <v>133</v>
      </c>
      <c r="D151" s="290" t="s">
        <v>249</v>
      </c>
      <c r="E151" s="228">
        <f t="shared" si="8"/>
        <v>467.20600000000002</v>
      </c>
      <c r="F151" s="228">
        <v>234.803</v>
      </c>
      <c r="G151" s="289"/>
      <c r="H151" s="228">
        <v>206.37700000000001</v>
      </c>
      <c r="I151" s="289">
        <v>16.3</v>
      </c>
      <c r="J151" s="228">
        <v>9.7260000000000009</v>
      </c>
      <c r="K151" s="289"/>
      <c r="L151" s="200"/>
    </row>
    <row r="152" spans="3:15" ht="15" x14ac:dyDescent="0.25">
      <c r="C152" s="219">
        <f t="shared" si="6"/>
        <v>134</v>
      </c>
      <c r="D152" s="226" t="s">
        <v>250</v>
      </c>
      <c r="E152" s="228">
        <f t="shared" si="8"/>
        <v>1297.432</v>
      </c>
      <c r="F152" s="228">
        <v>731.29499999999996</v>
      </c>
      <c r="G152" s="289"/>
      <c r="H152" s="228">
        <v>475.55</v>
      </c>
      <c r="I152" s="289">
        <v>67.400000000000006</v>
      </c>
      <c r="J152" s="228">
        <v>23.187000000000001</v>
      </c>
      <c r="K152" s="289"/>
      <c r="L152" s="200"/>
    </row>
    <row r="153" spans="3:15" ht="15" x14ac:dyDescent="0.25">
      <c r="C153" s="219">
        <f t="shared" si="6"/>
        <v>135</v>
      </c>
      <c r="D153" s="226" t="s">
        <v>17</v>
      </c>
      <c r="E153" s="228">
        <f t="shared" si="8"/>
        <v>1401.47</v>
      </c>
      <c r="F153" s="228">
        <v>363.11500000000001</v>
      </c>
      <c r="G153" s="289"/>
      <c r="H153" s="228">
        <v>1017.5549999999999</v>
      </c>
      <c r="I153" s="289">
        <v>20.8</v>
      </c>
      <c r="J153" s="228"/>
      <c r="K153" s="289"/>
      <c r="L153" s="200"/>
    </row>
    <row r="154" spans="3:15" ht="33.75" customHeight="1" x14ac:dyDescent="0.25">
      <c r="C154" s="219">
        <f t="shared" si="6"/>
        <v>136</v>
      </c>
      <c r="D154" s="291" t="s">
        <v>626</v>
      </c>
      <c r="E154" s="228">
        <f t="shared" si="8"/>
        <v>218.09000000000003</v>
      </c>
      <c r="F154" s="228">
        <v>94.239000000000004</v>
      </c>
      <c r="G154" s="289">
        <v>3.8</v>
      </c>
      <c r="H154" s="228">
        <v>111.751</v>
      </c>
      <c r="I154" s="289">
        <v>8.3000000000000007</v>
      </c>
      <c r="J154" s="228"/>
      <c r="K154" s="289"/>
      <c r="L154" s="200"/>
    </row>
    <row r="155" spans="3:15" ht="13.5" customHeight="1" x14ac:dyDescent="0.25">
      <c r="C155" s="219">
        <f t="shared" si="6"/>
        <v>137</v>
      </c>
      <c r="D155" s="226" t="s">
        <v>253</v>
      </c>
      <c r="E155" s="228">
        <f t="shared" si="8"/>
        <v>2666.0160000000001</v>
      </c>
      <c r="F155" s="228">
        <v>959.02099999999996</v>
      </c>
      <c r="G155" s="289">
        <v>22.395</v>
      </c>
      <c r="H155" s="228">
        <v>1593.5730000000001</v>
      </c>
      <c r="I155" s="289">
        <v>87</v>
      </c>
      <c r="J155" s="228">
        <v>4.0270000000000001</v>
      </c>
      <c r="K155" s="289"/>
      <c r="L155" s="200"/>
    </row>
    <row r="156" spans="3:15" ht="28.5" x14ac:dyDescent="0.25">
      <c r="C156" s="219">
        <f t="shared" si="6"/>
        <v>138</v>
      </c>
      <c r="D156" s="292" t="s">
        <v>674</v>
      </c>
      <c r="E156" s="228">
        <f t="shared" si="8"/>
        <v>299.91899999999998</v>
      </c>
      <c r="F156" s="228">
        <f>13.126+5.318</f>
        <v>18.443999999999999</v>
      </c>
      <c r="G156" s="289">
        <v>6.4450000000000003</v>
      </c>
      <c r="H156" s="228">
        <v>275.02999999999997</v>
      </c>
      <c r="I156" s="289"/>
      <c r="J156" s="228"/>
      <c r="K156" s="289"/>
      <c r="L156" s="200"/>
    </row>
    <row r="157" spans="3:15" ht="33" customHeight="1" x14ac:dyDescent="0.25">
      <c r="C157" s="219">
        <f t="shared" ref="C157:C176" si="10">C156+1</f>
        <v>139</v>
      </c>
      <c r="D157" s="292" t="s">
        <v>627</v>
      </c>
      <c r="E157" s="228">
        <f t="shared" si="8"/>
        <v>18.855</v>
      </c>
      <c r="F157" s="228"/>
      <c r="G157" s="289">
        <v>0.7</v>
      </c>
      <c r="H157" s="228">
        <v>18.155000000000001</v>
      </c>
      <c r="I157" s="289"/>
      <c r="J157" s="228"/>
      <c r="K157" s="289"/>
      <c r="L157" s="200"/>
    </row>
    <row r="158" spans="3:15" ht="15" x14ac:dyDescent="0.25">
      <c r="C158" s="219">
        <f t="shared" si="10"/>
        <v>140</v>
      </c>
      <c r="D158" s="226" t="s">
        <v>90</v>
      </c>
      <c r="E158" s="228">
        <f t="shared" si="8"/>
        <v>2255.038</v>
      </c>
      <c r="F158" s="228">
        <v>650.32600000000002</v>
      </c>
      <c r="G158" s="289">
        <v>14.613</v>
      </c>
      <c r="H158" s="228">
        <v>1550.729</v>
      </c>
      <c r="I158" s="289">
        <v>39</v>
      </c>
      <c r="J158" s="228">
        <v>0.37</v>
      </c>
      <c r="K158" s="289"/>
      <c r="L158" s="200"/>
    </row>
    <row r="159" spans="3:15" ht="15" x14ac:dyDescent="0.25">
      <c r="C159" s="219">
        <f t="shared" si="10"/>
        <v>141</v>
      </c>
      <c r="D159" s="226" t="s">
        <v>19</v>
      </c>
      <c r="E159" s="228">
        <f t="shared" si="8"/>
        <v>1388.221</v>
      </c>
      <c r="F159" s="228">
        <v>548.00800000000004</v>
      </c>
      <c r="G159" s="289"/>
      <c r="H159" s="228">
        <v>811.16200000000003</v>
      </c>
      <c r="I159" s="289">
        <v>25</v>
      </c>
      <c r="J159" s="228">
        <v>4.0510000000000002</v>
      </c>
      <c r="K159" s="289"/>
      <c r="L159" s="200"/>
      <c r="O159" s="181"/>
    </row>
    <row r="160" spans="3:15" ht="15" x14ac:dyDescent="0.25">
      <c r="C160" s="219">
        <f t="shared" si="10"/>
        <v>142</v>
      </c>
      <c r="D160" s="226" t="s">
        <v>628</v>
      </c>
      <c r="E160" s="228">
        <f t="shared" si="8"/>
        <v>92.418999999999997</v>
      </c>
      <c r="F160" s="228">
        <v>84.816000000000003</v>
      </c>
      <c r="G160" s="289"/>
      <c r="H160" s="228"/>
      <c r="I160" s="289">
        <v>7</v>
      </c>
      <c r="J160" s="228">
        <v>0.60299999999999998</v>
      </c>
      <c r="K160" s="289"/>
      <c r="L160" s="200"/>
    </row>
    <row r="161" spans="3:12" ht="15" x14ac:dyDescent="0.25">
      <c r="C161" s="219">
        <f t="shared" si="10"/>
        <v>143</v>
      </c>
      <c r="D161" s="226" t="s">
        <v>255</v>
      </c>
      <c r="E161" s="228">
        <f t="shared" si="8"/>
        <v>1508.712</v>
      </c>
      <c r="F161" s="228">
        <v>610.21299999999997</v>
      </c>
      <c r="G161" s="289"/>
      <c r="H161" s="228">
        <v>873.84799999999996</v>
      </c>
      <c r="I161" s="289">
        <v>23</v>
      </c>
      <c r="J161" s="228">
        <v>1.651</v>
      </c>
      <c r="K161" s="289"/>
      <c r="L161" s="200"/>
    </row>
    <row r="162" spans="3:12" ht="30" customHeight="1" x14ac:dyDescent="0.25">
      <c r="C162" s="219">
        <f t="shared" si="10"/>
        <v>144</v>
      </c>
      <c r="D162" s="293" t="s">
        <v>629</v>
      </c>
      <c r="E162" s="228">
        <f t="shared" si="8"/>
        <v>367.339</v>
      </c>
      <c r="F162" s="228">
        <v>239.14</v>
      </c>
      <c r="G162" s="289"/>
      <c r="H162" s="228">
        <v>107.05200000000001</v>
      </c>
      <c r="I162" s="289">
        <v>16</v>
      </c>
      <c r="J162" s="228">
        <v>5.1470000000000002</v>
      </c>
      <c r="K162" s="289"/>
      <c r="L162" s="200"/>
    </row>
    <row r="163" spans="3:12" ht="15" x14ac:dyDescent="0.25">
      <c r="C163" s="219">
        <f t="shared" si="10"/>
        <v>145</v>
      </c>
      <c r="D163" s="226" t="s">
        <v>630</v>
      </c>
      <c r="E163" s="228">
        <f t="shared" si="8"/>
        <v>99.451000000000008</v>
      </c>
      <c r="F163" s="228">
        <v>93.483000000000004</v>
      </c>
      <c r="G163" s="289"/>
      <c r="H163" s="228"/>
      <c r="I163" s="289">
        <v>4.5</v>
      </c>
      <c r="J163" s="228">
        <v>1.468</v>
      </c>
      <c r="K163" s="289"/>
      <c r="L163" s="200"/>
    </row>
    <row r="164" spans="3:12" ht="15" x14ac:dyDescent="0.25">
      <c r="C164" s="219">
        <f t="shared" si="10"/>
        <v>146</v>
      </c>
      <c r="D164" s="226" t="s">
        <v>21</v>
      </c>
      <c r="E164" s="228">
        <f t="shared" si="8"/>
        <v>1109.461</v>
      </c>
      <c r="F164" s="228">
        <v>365.61799999999999</v>
      </c>
      <c r="G164" s="289"/>
      <c r="H164" s="228">
        <v>721.10299999999995</v>
      </c>
      <c r="I164" s="289">
        <v>21</v>
      </c>
      <c r="J164" s="228">
        <v>1.74</v>
      </c>
      <c r="K164" s="289"/>
      <c r="L164" s="200"/>
    </row>
    <row r="165" spans="3:12" ht="28.5" x14ac:dyDescent="0.25">
      <c r="C165" s="219">
        <f t="shared" si="10"/>
        <v>147</v>
      </c>
      <c r="D165" s="291" t="s">
        <v>631</v>
      </c>
      <c r="E165" s="228">
        <f t="shared" si="8"/>
        <v>385.40700000000004</v>
      </c>
      <c r="F165" s="228">
        <v>207.834</v>
      </c>
      <c r="G165" s="289">
        <f>7.599+2.16</f>
        <v>9.7590000000000003</v>
      </c>
      <c r="H165" s="228">
        <v>152.727</v>
      </c>
      <c r="I165" s="289">
        <v>14.4</v>
      </c>
      <c r="J165" s="228">
        <v>0.68700000000000006</v>
      </c>
      <c r="K165" s="289"/>
      <c r="L165" s="200"/>
    </row>
    <row r="166" spans="3:12" ht="15" x14ac:dyDescent="0.25">
      <c r="C166" s="219">
        <f t="shared" si="10"/>
        <v>148</v>
      </c>
      <c r="D166" s="226" t="s">
        <v>632</v>
      </c>
      <c r="E166" s="228">
        <f t="shared" si="8"/>
        <v>73.477999999999994</v>
      </c>
      <c r="F166" s="228">
        <v>68.477000000000004</v>
      </c>
      <c r="G166" s="289"/>
      <c r="H166" s="228"/>
      <c r="I166" s="289">
        <v>2.6</v>
      </c>
      <c r="J166" s="228">
        <v>2.4009999999999998</v>
      </c>
      <c r="K166" s="289"/>
      <c r="L166" s="200"/>
    </row>
    <row r="167" spans="3:12" ht="15" x14ac:dyDescent="0.25">
      <c r="C167" s="219">
        <f t="shared" si="10"/>
        <v>149</v>
      </c>
      <c r="D167" s="226" t="s">
        <v>92</v>
      </c>
      <c r="E167" s="228">
        <f t="shared" si="8"/>
        <v>1452.472</v>
      </c>
      <c r="F167" s="228">
        <f>576.81+7.76</f>
        <v>584.56999999999994</v>
      </c>
      <c r="G167" s="289">
        <v>0.72</v>
      </c>
      <c r="H167" s="228">
        <v>845.476</v>
      </c>
      <c r="I167" s="289">
        <v>19</v>
      </c>
      <c r="J167" s="228">
        <v>2.706</v>
      </c>
      <c r="K167" s="289"/>
      <c r="L167" s="200"/>
    </row>
    <row r="168" spans="3:12" s="178" customFormat="1" ht="15" x14ac:dyDescent="0.25">
      <c r="C168" s="219">
        <f t="shared" si="10"/>
        <v>150</v>
      </c>
      <c r="D168" s="226" t="s">
        <v>32</v>
      </c>
      <c r="E168" s="228">
        <f t="shared" si="8"/>
        <v>616.05799999999999</v>
      </c>
      <c r="F168" s="228">
        <v>180.619</v>
      </c>
      <c r="G168" s="289">
        <v>122.5</v>
      </c>
      <c r="H168" s="228">
        <v>305.10599999999999</v>
      </c>
      <c r="I168" s="289">
        <v>7.1</v>
      </c>
      <c r="J168" s="228">
        <v>0.73299999999999998</v>
      </c>
      <c r="K168" s="289"/>
      <c r="L168" s="294"/>
    </row>
    <row r="169" spans="3:12" ht="15" x14ac:dyDescent="0.25">
      <c r="C169" s="219">
        <f t="shared" si="10"/>
        <v>151</v>
      </c>
      <c r="D169" s="226" t="s">
        <v>93</v>
      </c>
      <c r="E169" s="228">
        <f t="shared" si="8"/>
        <v>744.11162000000002</v>
      </c>
      <c r="F169" s="516">
        <f>659.644+3.83362</f>
        <v>663.47762</v>
      </c>
      <c r="G169" s="289"/>
      <c r="H169" s="228">
        <v>31</v>
      </c>
      <c r="I169" s="289">
        <f>33+4.5</f>
        <v>37.5</v>
      </c>
      <c r="J169" s="228">
        <v>12.134</v>
      </c>
      <c r="K169" s="289"/>
      <c r="L169" s="200"/>
    </row>
    <row r="170" spans="3:12" ht="15" x14ac:dyDescent="0.25">
      <c r="C170" s="219">
        <f t="shared" si="10"/>
        <v>152</v>
      </c>
      <c r="D170" s="226" t="s">
        <v>633</v>
      </c>
      <c r="E170" s="228">
        <f t="shared" si="8"/>
        <v>253.11116000000001</v>
      </c>
      <c r="F170" s="227">
        <f>216.679+1.89616</f>
        <v>218.57516000000001</v>
      </c>
      <c r="G170" s="289"/>
      <c r="H170" s="228">
        <v>17</v>
      </c>
      <c r="I170" s="289">
        <v>15</v>
      </c>
      <c r="J170" s="228">
        <v>2.536</v>
      </c>
      <c r="K170" s="289"/>
      <c r="L170" s="200"/>
    </row>
    <row r="171" spans="3:12" ht="15" x14ac:dyDescent="0.25">
      <c r="C171" s="219">
        <f t="shared" si="10"/>
        <v>153</v>
      </c>
      <c r="D171" s="290" t="s">
        <v>227</v>
      </c>
      <c r="E171" s="228">
        <f t="shared" si="8"/>
        <v>391.3777</v>
      </c>
      <c r="F171" s="227">
        <f>351.453+1.0467</f>
        <v>352.49969999999996</v>
      </c>
      <c r="G171" s="289"/>
      <c r="H171" s="228">
        <v>11.535</v>
      </c>
      <c r="I171" s="289">
        <v>17.100000000000001</v>
      </c>
      <c r="J171" s="228">
        <v>10.243</v>
      </c>
      <c r="K171" s="289"/>
      <c r="L171" s="200"/>
    </row>
    <row r="172" spans="3:12" ht="15" x14ac:dyDescent="0.25">
      <c r="C172" s="219">
        <f t="shared" si="10"/>
        <v>154</v>
      </c>
      <c r="D172" s="226" t="s">
        <v>22</v>
      </c>
      <c r="E172" s="228">
        <f t="shared" si="8"/>
        <v>433.12099999999998</v>
      </c>
      <c r="F172" s="228">
        <f>220.199+1.5</f>
        <v>221.69900000000001</v>
      </c>
      <c r="G172" s="289">
        <v>26.213999999999999</v>
      </c>
      <c r="H172" s="228">
        <v>155.86099999999999</v>
      </c>
      <c r="I172" s="289">
        <v>23.5</v>
      </c>
      <c r="J172" s="228">
        <v>5.8470000000000004</v>
      </c>
      <c r="K172" s="289"/>
      <c r="L172" s="200"/>
    </row>
    <row r="173" spans="3:12" ht="15" x14ac:dyDescent="0.25">
      <c r="C173" s="219">
        <f t="shared" si="10"/>
        <v>155</v>
      </c>
      <c r="D173" s="295" t="s">
        <v>94</v>
      </c>
      <c r="E173" s="228">
        <f t="shared" si="8"/>
        <v>613.80878000000007</v>
      </c>
      <c r="F173" s="517">
        <f>471.504+0.80878</f>
        <v>472.31278000000003</v>
      </c>
      <c r="G173" s="289">
        <v>7.5990000000000002</v>
      </c>
      <c r="H173" s="228">
        <v>108.45099999999999</v>
      </c>
      <c r="I173" s="289">
        <v>22.5</v>
      </c>
      <c r="J173" s="228">
        <v>2.9460000000000002</v>
      </c>
      <c r="K173" s="289"/>
      <c r="L173" s="200"/>
    </row>
    <row r="174" spans="3:12" ht="15" customHeight="1" thickBot="1" x14ac:dyDescent="0.3">
      <c r="C174" s="248">
        <f t="shared" si="10"/>
        <v>156</v>
      </c>
      <c r="D174" s="295" t="s">
        <v>138</v>
      </c>
      <c r="E174" s="297">
        <f t="shared" si="8"/>
        <v>454.97800000000007</v>
      </c>
      <c r="F174" s="296">
        <v>369.22300000000001</v>
      </c>
      <c r="G174" s="298">
        <f>7.599+0.72</f>
        <v>8.3190000000000008</v>
      </c>
      <c r="H174" s="296">
        <v>68.542000000000002</v>
      </c>
      <c r="I174" s="518">
        <f>6+1.5</f>
        <v>7.5</v>
      </c>
      <c r="J174" s="299">
        <v>1.3939999999999999</v>
      </c>
      <c r="K174" s="298"/>
      <c r="L174" s="300"/>
    </row>
    <row r="175" spans="3:12" ht="17.25" customHeight="1" thickBot="1" x14ac:dyDescent="0.3">
      <c r="C175" s="305">
        <f t="shared" si="10"/>
        <v>157</v>
      </c>
      <c r="D175" s="311" t="s">
        <v>256</v>
      </c>
      <c r="E175" s="312">
        <f>+F175+G175+H175+I175+J175+K175</f>
        <v>22220.131259999998</v>
      </c>
      <c r="F175" s="313">
        <f t="shared" ref="F175:J175" si="11">SUM(F147:F174)</f>
        <v>10388.848260000001</v>
      </c>
      <c r="G175" s="314">
        <f t="shared" si="11"/>
        <v>254.70099999999996</v>
      </c>
      <c r="H175" s="313">
        <f t="shared" si="11"/>
        <v>10811.4</v>
      </c>
      <c r="I175" s="314">
        <f t="shared" si="11"/>
        <v>654.02800000000002</v>
      </c>
      <c r="J175" s="313">
        <f t="shared" si="11"/>
        <v>111.154</v>
      </c>
      <c r="K175" s="314"/>
      <c r="L175" s="315"/>
    </row>
    <row r="176" spans="3:12" ht="20.25" customHeight="1" thickBot="1" x14ac:dyDescent="0.25">
      <c r="C176" s="512">
        <f t="shared" si="10"/>
        <v>158</v>
      </c>
      <c r="D176" s="520" t="s">
        <v>36</v>
      </c>
      <c r="E176" s="521">
        <f>+F176+G176+H176+I176+J176+K176+L176</f>
        <v>59986.063759999997</v>
      </c>
      <c r="F176" s="522">
        <f>F146+F175</f>
        <v>33466.633000000002</v>
      </c>
      <c r="G176" s="523">
        <f>G146+G175</f>
        <v>9952.6897599999993</v>
      </c>
      <c r="H176" s="519">
        <f>H175+H146</f>
        <v>10821.4</v>
      </c>
      <c r="I176" s="524">
        <f>I146+I175</f>
        <v>1576.8010000000002</v>
      </c>
      <c r="J176" s="519">
        <f>J146+J175</f>
        <v>3153.0390000000002</v>
      </c>
      <c r="K176" s="524">
        <f>K146+K175</f>
        <v>905.50099999999998</v>
      </c>
      <c r="L176" s="519">
        <f>L146+L175</f>
        <v>110</v>
      </c>
    </row>
    <row r="177" spans="3:8" x14ac:dyDescent="0.2">
      <c r="C177" s="301"/>
    </row>
    <row r="178" spans="3:8" x14ac:dyDescent="0.2">
      <c r="C178" s="302"/>
      <c r="E178" s="173"/>
      <c r="F178" s="173"/>
      <c r="G178" s="174"/>
      <c r="H178" s="174"/>
    </row>
    <row r="179" spans="3:8" x14ac:dyDescent="0.2">
      <c r="C179" s="302"/>
      <c r="D179" s="171"/>
      <c r="H179" s="174"/>
    </row>
    <row r="180" spans="3:8" x14ac:dyDescent="0.2">
      <c r="C180" s="177"/>
      <c r="D180" s="175"/>
      <c r="E180" s="174"/>
      <c r="F180" s="174"/>
    </row>
    <row r="181" spans="3:8" x14ac:dyDescent="0.2">
      <c r="C181" s="177"/>
      <c r="D181" s="176"/>
      <c r="H181" s="174"/>
    </row>
    <row r="182" spans="3:8" x14ac:dyDescent="0.2">
      <c r="D182" s="171"/>
    </row>
    <row r="183" spans="3:8" x14ac:dyDescent="0.2">
      <c r="D183" s="171"/>
    </row>
    <row r="185" spans="3:8" x14ac:dyDescent="0.2">
      <c r="G185" s="174"/>
    </row>
  </sheetData>
  <mergeCells count="12">
    <mergeCell ref="E15:E16"/>
    <mergeCell ref="C15:C16"/>
    <mergeCell ref="D15:D16"/>
    <mergeCell ref="D11:G11"/>
    <mergeCell ref="E12:F12"/>
    <mergeCell ref="F15:F16"/>
    <mergeCell ref="G15:G16"/>
    <mergeCell ref="L15:L16"/>
    <mergeCell ref="H15:H16"/>
    <mergeCell ref="I15:I16"/>
    <mergeCell ref="J15:J16"/>
    <mergeCell ref="K15:K16"/>
  </mergeCells>
  <pageMargins left="0.43307086614173229" right="0" top="0.55118110236220474" bottom="0.35433070866141736" header="0.31496062992125984" footer="0.31496062992125984"/>
  <pageSetup paperSize="9" scale="8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34"/>
  <sheetViews>
    <sheetView topLeftCell="A12" zoomScaleNormal="100" workbookViewId="0">
      <selection activeCell="N14" sqref="N14"/>
    </sheetView>
  </sheetViews>
  <sheetFormatPr defaultColWidth="9.140625" defaultRowHeight="15" customHeight="1" x14ac:dyDescent="0.2"/>
  <cols>
    <col min="1" max="1" width="4.7109375" style="168" customWidth="1"/>
    <col min="2" max="2" width="55" style="168" customWidth="1"/>
    <col min="3" max="4" width="14.7109375" style="168" customWidth="1"/>
    <col min="5" max="5" width="13.28515625" style="168" customWidth="1"/>
    <col min="6" max="6" width="13.42578125" style="168" customWidth="1"/>
    <col min="7" max="7" width="12.140625" style="168" customWidth="1"/>
    <col min="8" max="8" width="10.5703125" style="168" customWidth="1"/>
    <col min="9" max="9" width="11.7109375" style="168" customWidth="1"/>
    <col min="10" max="10" width="9.5703125" style="168" customWidth="1"/>
    <col min="11" max="16384" width="9.140625" style="168"/>
  </cols>
  <sheetData>
    <row r="1" spans="1:12" ht="18.75" customHeight="1" x14ac:dyDescent="0.2"/>
    <row r="2" spans="1:12" ht="15" customHeight="1" x14ac:dyDescent="0.25">
      <c r="F2" s="188" t="s">
        <v>663</v>
      </c>
      <c r="G2" s="188"/>
      <c r="H2" s="188"/>
      <c r="I2" s="188"/>
      <c r="J2" s="188"/>
      <c r="K2" s="188"/>
    </row>
    <row r="3" spans="1:12" ht="15" customHeight="1" x14ac:dyDescent="0.25">
      <c r="F3" s="188" t="s">
        <v>664</v>
      </c>
      <c r="G3" s="189"/>
      <c r="H3" s="189"/>
      <c r="I3" s="188"/>
      <c r="J3" s="188"/>
      <c r="K3" s="188"/>
    </row>
    <row r="4" spans="1:12" ht="14.25" customHeight="1" x14ac:dyDescent="0.25">
      <c r="F4" s="188" t="s">
        <v>665</v>
      </c>
      <c r="G4" s="189"/>
      <c r="H4" s="189"/>
      <c r="I4" s="188"/>
      <c r="J4" s="188"/>
      <c r="K4" s="188"/>
    </row>
    <row r="5" spans="1:12" ht="14.25" customHeight="1" x14ac:dyDescent="0.25">
      <c r="F5" s="879" t="s">
        <v>666</v>
      </c>
      <c r="G5" s="879"/>
      <c r="H5" s="879"/>
      <c r="I5" s="879"/>
      <c r="J5" s="879"/>
      <c r="K5" s="879"/>
    </row>
    <row r="6" spans="1:12" ht="14.25" customHeight="1" x14ac:dyDescent="0.25">
      <c r="F6" s="879" t="s">
        <v>751</v>
      </c>
      <c r="G6" s="879"/>
      <c r="H6" s="879"/>
      <c r="I6" s="879"/>
      <c r="J6" s="879"/>
      <c r="K6" s="879"/>
    </row>
    <row r="7" spans="1:12" ht="14.25" customHeight="1" x14ac:dyDescent="0.25">
      <c r="F7" s="206" t="s">
        <v>667</v>
      </c>
      <c r="G7" s="879"/>
      <c r="H7" s="879"/>
      <c r="I7" s="879"/>
      <c r="J7" s="879"/>
      <c r="K7" s="207"/>
    </row>
    <row r="8" spans="1:12" ht="15" customHeight="1" x14ac:dyDescent="0.2">
      <c r="F8" s="929"/>
      <c r="G8" s="929"/>
      <c r="H8" s="179"/>
      <c r="I8" s="178"/>
    </row>
    <row r="9" spans="1:12" ht="24" customHeight="1" x14ac:dyDescent="0.25">
      <c r="B9" s="2" t="s">
        <v>487</v>
      </c>
      <c r="C9" s="2"/>
      <c r="D9" s="2"/>
      <c r="E9" s="2"/>
    </row>
    <row r="10" spans="1:12" ht="15" customHeight="1" x14ac:dyDescent="0.25">
      <c r="B10" s="2"/>
      <c r="C10" s="2"/>
      <c r="D10" s="2"/>
      <c r="E10" s="2"/>
      <c r="L10" s="173"/>
    </row>
    <row r="12" spans="1:12" ht="15" customHeight="1" thickBot="1" x14ac:dyDescent="0.25">
      <c r="A12" s="178"/>
      <c r="B12" s="178"/>
      <c r="C12" s="178"/>
      <c r="D12" s="178"/>
      <c r="E12" s="178"/>
      <c r="F12" s="180"/>
      <c r="G12" s="178"/>
      <c r="H12" s="178" t="s">
        <v>585</v>
      </c>
    </row>
    <row r="13" spans="1:12" ht="15" customHeight="1" x14ac:dyDescent="0.2">
      <c r="A13" s="925" t="s">
        <v>441</v>
      </c>
      <c r="B13" s="927" t="s">
        <v>39</v>
      </c>
      <c r="C13" s="916" t="s">
        <v>40</v>
      </c>
      <c r="D13" s="912" t="s">
        <v>482</v>
      </c>
      <c r="E13" s="912" t="s">
        <v>483</v>
      </c>
      <c r="F13" s="912" t="s">
        <v>283</v>
      </c>
      <c r="G13" s="912" t="s">
        <v>484</v>
      </c>
      <c r="H13" s="912" t="s">
        <v>485</v>
      </c>
      <c r="I13" s="931" t="s">
        <v>486</v>
      </c>
      <c r="J13" s="910" t="s">
        <v>367</v>
      </c>
    </row>
    <row r="14" spans="1:12" ht="55.5" customHeight="1" thickBot="1" x14ac:dyDescent="0.25">
      <c r="A14" s="926"/>
      <c r="B14" s="928"/>
      <c r="C14" s="917"/>
      <c r="D14" s="913"/>
      <c r="E14" s="913"/>
      <c r="F14" s="913"/>
      <c r="G14" s="913"/>
      <c r="H14" s="913"/>
      <c r="I14" s="932"/>
      <c r="J14" s="930"/>
    </row>
    <row r="15" spans="1:12" ht="36" customHeight="1" thickBot="1" x14ac:dyDescent="0.3">
      <c r="A15" s="525">
        <v>1</v>
      </c>
      <c r="B15" s="526" t="s">
        <v>100</v>
      </c>
      <c r="C15" s="527">
        <f>D15+E15+F15+G15+H15+I15</f>
        <v>9322.3764200000005</v>
      </c>
      <c r="D15" s="528">
        <f>D16+D18+D24+D27+D32+D35+D38+SUM(D42:D52)</f>
        <v>6967.2340000000004</v>
      </c>
      <c r="E15" s="529">
        <f>E18+E25+SUM(E42:E52)+E27</f>
        <v>2051.3814200000002</v>
      </c>
      <c r="F15" s="530"/>
      <c r="G15" s="528">
        <f>G27+SUM(G43:G52)</f>
        <v>62.92</v>
      </c>
      <c r="H15" s="528">
        <f>H27+SUM(H43:H52)+H18+H38</f>
        <v>195.74100000000001</v>
      </c>
      <c r="I15" s="531">
        <f>I16+I18+I24+I27+I32+I35+I38+SUM(I42:I52)</f>
        <v>45.1</v>
      </c>
      <c r="J15" s="532"/>
    </row>
    <row r="16" spans="1:12" ht="15" customHeight="1" x14ac:dyDescent="0.25">
      <c r="A16" s="533">
        <f>A15+1</f>
        <v>2</v>
      </c>
      <c r="B16" s="534" t="s">
        <v>48</v>
      </c>
      <c r="C16" s="535">
        <f t="shared" ref="C16:C73" si="0">D16+E16+F16+G16+H16+I16</f>
        <v>356.08</v>
      </c>
      <c r="D16" s="536">
        <f>D17</f>
        <v>356.08</v>
      </c>
      <c r="E16" s="537"/>
      <c r="F16" s="537"/>
      <c r="G16" s="537"/>
      <c r="H16" s="538"/>
      <c r="I16" s="539"/>
      <c r="J16" s="540"/>
    </row>
    <row r="17" spans="1:15" ht="15" customHeight="1" x14ac:dyDescent="0.25">
      <c r="A17" s="533">
        <f t="shared" ref="A17:A80" si="1">A16+1</f>
        <v>3</v>
      </c>
      <c r="B17" s="541" t="s">
        <v>50</v>
      </c>
      <c r="C17" s="542">
        <f t="shared" si="0"/>
        <v>356.08</v>
      </c>
      <c r="D17" s="543">
        <v>356.08</v>
      </c>
      <c r="E17" s="537"/>
      <c r="F17" s="537"/>
      <c r="G17" s="537"/>
      <c r="H17" s="278"/>
      <c r="I17" s="544"/>
      <c r="J17" s="294"/>
      <c r="K17" s="173"/>
    </row>
    <row r="18" spans="1:15" ht="15" customHeight="1" x14ac:dyDescent="0.25">
      <c r="A18" s="533">
        <f t="shared" si="1"/>
        <v>4</v>
      </c>
      <c r="B18" s="545" t="s">
        <v>101</v>
      </c>
      <c r="C18" s="546">
        <f t="shared" si="0"/>
        <v>6150.1534200000006</v>
      </c>
      <c r="D18" s="547">
        <f>SUM(D19:D23)</f>
        <v>5552.8879999999999</v>
      </c>
      <c r="E18" s="548">
        <f>SUM(E19:E23)</f>
        <v>595.78142000000003</v>
      </c>
      <c r="F18" s="547"/>
      <c r="G18" s="547"/>
      <c r="H18" s="547">
        <f>SUM(H19:H23)</f>
        <v>1.484</v>
      </c>
      <c r="I18" s="549"/>
      <c r="J18" s="294"/>
      <c r="K18" s="173"/>
    </row>
    <row r="19" spans="1:15" ht="15" customHeight="1" x14ac:dyDescent="0.25">
      <c r="A19" s="533">
        <f t="shared" si="1"/>
        <v>5</v>
      </c>
      <c r="B19" s="541" t="s">
        <v>24</v>
      </c>
      <c r="C19" s="550">
        <f t="shared" si="0"/>
        <v>5752.4024200000003</v>
      </c>
      <c r="D19" s="566">
        <f>5620.193-545.314+53.26+3.498+23.5</f>
        <v>5155.1369999999997</v>
      </c>
      <c r="E19" s="550">
        <f>543.034+0.10383+2.176+50.95759-0.49</f>
        <v>595.78142000000003</v>
      </c>
      <c r="F19" s="551"/>
      <c r="G19" s="551"/>
      <c r="H19" s="542">
        <v>1.484</v>
      </c>
      <c r="I19" s="552"/>
      <c r="J19" s="294"/>
    </row>
    <row r="20" spans="1:15" ht="15" customHeight="1" x14ac:dyDescent="0.25">
      <c r="A20" s="533">
        <f t="shared" si="1"/>
        <v>6</v>
      </c>
      <c r="B20" s="541" t="s">
        <v>51</v>
      </c>
      <c r="C20" s="542">
        <f t="shared" si="0"/>
        <v>131.88600000000002</v>
      </c>
      <c r="D20" s="555">
        <f>128.586+3.3</f>
        <v>131.88600000000002</v>
      </c>
      <c r="E20" s="551"/>
      <c r="F20" s="551"/>
      <c r="G20" s="551"/>
      <c r="H20" s="542"/>
      <c r="I20" s="552"/>
      <c r="J20" s="294"/>
    </row>
    <row r="21" spans="1:15" ht="15" customHeight="1" x14ac:dyDescent="0.25">
      <c r="A21" s="533">
        <f t="shared" si="1"/>
        <v>7</v>
      </c>
      <c r="B21" s="553" t="s">
        <v>49</v>
      </c>
      <c r="C21" s="542">
        <f t="shared" si="0"/>
        <v>172.36500000000001</v>
      </c>
      <c r="D21" s="543">
        <v>172.36500000000001</v>
      </c>
      <c r="E21" s="542"/>
      <c r="F21" s="551"/>
      <c r="G21" s="551"/>
      <c r="H21" s="542"/>
      <c r="I21" s="552"/>
      <c r="J21" s="554"/>
      <c r="K21" s="173"/>
    </row>
    <row r="22" spans="1:15" ht="15" customHeight="1" x14ac:dyDescent="0.25">
      <c r="A22" s="533">
        <f t="shared" si="1"/>
        <v>8</v>
      </c>
      <c r="B22" s="541" t="s">
        <v>419</v>
      </c>
      <c r="C22" s="542">
        <f t="shared" si="0"/>
        <v>87.5</v>
      </c>
      <c r="D22" s="555">
        <v>87.5</v>
      </c>
      <c r="E22" s="551"/>
      <c r="F22" s="551"/>
      <c r="G22" s="551"/>
      <c r="H22" s="542"/>
      <c r="I22" s="552"/>
      <c r="J22" s="294"/>
    </row>
    <row r="23" spans="1:15" ht="45.75" customHeight="1" x14ac:dyDescent="0.25">
      <c r="A23" s="533">
        <f t="shared" si="1"/>
        <v>9</v>
      </c>
      <c r="B23" s="556" t="s">
        <v>379</v>
      </c>
      <c r="C23" s="542">
        <f t="shared" si="0"/>
        <v>6</v>
      </c>
      <c r="D23" s="555">
        <v>6</v>
      </c>
      <c r="E23" s="551"/>
      <c r="F23" s="551"/>
      <c r="G23" s="551"/>
      <c r="H23" s="542"/>
      <c r="I23" s="552"/>
      <c r="J23" s="554"/>
    </row>
    <row r="24" spans="1:15" ht="15" customHeight="1" x14ac:dyDescent="0.25">
      <c r="A24" s="533">
        <f t="shared" si="1"/>
        <v>10</v>
      </c>
      <c r="B24" s="557" t="s">
        <v>105</v>
      </c>
      <c r="C24" s="278">
        <f t="shared" si="0"/>
        <v>107.91200000000001</v>
      </c>
      <c r="D24" s="558">
        <v>107.91200000000001</v>
      </c>
      <c r="E24" s="559"/>
      <c r="F24" s="559"/>
      <c r="G24" s="559"/>
      <c r="H24" s="303"/>
      <c r="I24" s="544"/>
      <c r="J24" s="294"/>
      <c r="K24" s="173"/>
    </row>
    <row r="25" spans="1:15" ht="15" customHeight="1" x14ac:dyDescent="0.25">
      <c r="A25" s="533">
        <f t="shared" si="1"/>
        <v>11</v>
      </c>
      <c r="B25" s="557" t="s">
        <v>106</v>
      </c>
      <c r="C25" s="278">
        <f t="shared" si="0"/>
        <v>4</v>
      </c>
      <c r="D25" s="560"/>
      <c r="E25" s="561">
        <f>E26</f>
        <v>4</v>
      </c>
      <c r="F25" s="559"/>
      <c r="G25" s="559"/>
      <c r="H25" s="303"/>
      <c r="I25" s="544"/>
      <c r="J25" s="294"/>
      <c r="K25" s="173"/>
      <c r="O25" s="168" t="s">
        <v>364</v>
      </c>
    </row>
    <row r="26" spans="1:15" ht="15" customHeight="1" x14ac:dyDescent="0.25">
      <c r="A26" s="533">
        <f t="shared" si="1"/>
        <v>12</v>
      </c>
      <c r="B26" s="541" t="s">
        <v>56</v>
      </c>
      <c r="C26" s="542">
        <f t="shared" si="0"/>
        <v>4</v>
      </c>
      <c r="D26" s="562"/>
      <c r="E26" s="551">
        <v>4</v>
      </c>
      <c r="F26" s="559"/>
      <c r="G26" s="563"/>
      <c r="H26" s="303"/>
      <c r="I26" s="544"/>
      <c r="J26" s="294"/>
    </row>
    <row r="27" spans="1:15" ht="15" customHeight="1" x14ac:dyDescent="0.25">
      <c r="A27" s="533">
        <f t="shared" si="1"/>
        <v>13</v>
      </c>
      <c r="B27" s="557" t="s">
        <v>216</v>
      </c>
      <c r="C27" s="278">
        <f t="shared" si="0"/>
        <v>276.39100000000002</v>
      </c>
      <c r="D27" s="564">
        <f>D28+D29+D30+D31</f>
        <v>37.891999999999996</v>
      </c>
      <c r="E27" s="561">
        <f>E28+E29+E30</f>
        <v>3.6</v>
      </c>
      <c r="F27" s="561"/>
      <c r="G27" s="278">
        <f>G30</f>
        <v>50</v>
      </c>
      <c r="H27" s="278">
        <f>H30</f>
        <v>139.79900000000001</v>
      </c>
      <c r="I27" s="565">
        <f>I28+I29+I30+I31</f>
        <v>45.1</v>
      </c>
      <c r="J27" s="294"/>
    </row>
    <row r="28" spans="1:15" ht="15" customHeight="1" x14ac:dyDescent="0.25">
      <c r="A28" s="533">
        <f t="shared" si="1"/>
        <v>14</v>
      </c>
      <c r="B28" s="541" t="s">
        <v>217</v>
      </c>
      <c r="C28" s="542">
        <f t="shared" si="0"/>
        <v>15</v>
      </c>
      <c r="D28" s="566">
        <v>15</v>
      </c>
      <c r="E28" s="551"/>
      <c r="F28" s="551"/>
      <c r="G28" s="567"/>
      <c r="H28" s="542"/>
      <c r="I28" s="552"/>
      <c r="J28" s="568"/>
    </row>
    <row r="29" spans="1:15" ht="15" customHeight="1" x14ac:dyDescent="0.25">
      <c r="A29" s="533">
        <f t="shared" si="1"/>
        <v>15</v>
      </c>
      <c r="B29" s="569" t="s">
        <v>260</v>
      </c>
      <c r="C29" s="542">
        <f t="shared" si="0"/>
        <v>3.6</v>
      </c>
      <c r="D29" s="555"/>
      <c r="E29" s="551">
        <v>3.6</v>
      </c>
      <c r="F29" s="551"/>
      <c r="G29" s="567"/>
      <c r="H29" s="542"/>
      <c r="I29" s="552"/>
      <c r="J29" s="568"/>
    </row>
    <row r="30" spans="1:15" ht="15" customHeight="1" x14ac:dyDescent="0.25">
      <c r="A30" s="533">
        <f t="shared" si="1"/>
        <v>16</v>
      </c>
      <c r="B30" s="541" t="s">
        <v>218</v>
      </c>
      <c r="C30" s="542">
        <f t="shared" si="0"/>
        <v>189.79900000000001</v>
      </c>
      <c r="D30" s="566"/>
      <c r="E30" s="551"/>
      <c r="F30" s="551"/>
      <c r="G30" s="551">
        <v>50</v>
      </c>
      <c r="H30" s="542">
        <v>139.79900000000001</v>
      </c>
      <c r="I30" s="570"/>
      <c r="J30" s="568"/>
    </row>
    <row r="31" spans="1:15" ht="15" customHeight="1" x14ac:dyDescent="0.25">
      <c r="A31" s="533">
        <f t="shared" si="1"/>
        <v>17</v>
      </c>
      <c r="B31" s="571" t="s">
        <v>498</v>
      </c>
      <c r="C31" s="542">
        <f t="shared" si="0"/>
        <v>67.992000000000004</v>
      </c>
      <c r="D31" s="572">
        <v>22.891999999999999</v>
      </c>
      <c r="E31" s="573"/>
      <c r="F31" s="573"/>
      <c r="G31" s="574"/>
      <c r="H31" s="573"/>
      <c r="I31" s="573">
        <v>45.1</v>
      </c>
      <c r="J31" s="568"/>
    </row>
    <row r="32" spans="1:15" ht="14.25" customHeight="1" x14ac:dyDescent="0.25">
      <c r="A32" s="533">
        <f t="shared" si="1"/>
        <v>18</v>
      </c>
      <c r="B32" s="575" t="s">
        <v>391</v>
      </c>
      <c r="C32" s="278">
        <f t="shared" si="0"/>
        <v>93.2</v>
      </c>
      <c r="D32" s="564">
        <f>D33+D34</f>
        <v>93.2</v>
      </c>
      <c r="E32" s="559"/>
      <c r="F32" s="559"/>
      <c r="G32" s="559"/>
      <c r="H32" s="303"/>
      <c r="I32" s="539"/>
      <c r="J32" s="294"/>
    </row>
    <row r="33" spans="1:11" ht="15" customHeight="1" x14ac:dyDescent="0.25">
      <c r="A33" s="533">
        <f t="shared" si="1"/>
        <v>19</v>
      </c>
      <c r="B33" s="576" t="s">
        <v>68</v>
      </c>
      <c r="C33" s="542">
        <f t="shared" si="0"/>
        <v>48.7</v>
      </c>
      <c r="D33" s="566">
        <v>48.7</v>
      </c>
      <c r="E33" s="559"/>
      <c r="F33" s="559"/>
      <c r="G33" s="559"/>
      <c r="H33" s="303"/>
      <c r="I33" s="544"/>
      <c r="J33" s="294"/>
    </row>
    <row r="34" spans="1:11" ht="26.25" customHeight="1" x14ac:dyDescent="0.25">
      <c r="A34" s="533">
        <f t="shared" si="1"/>
        <v>20</v>
      </c>
      <c r="B34" s="577" t="s">
        <v>220</v>
      </c>
      <c r="C34" s="542">
        <f t="shared" si="0"/>
        <v>44.5</v>
      </c>
      <c r="D34" s="566">
        <v>44.5</v>
      </c>
      <c r="E34" s="559"/>
      <c r="F34" s="559"/>
      <c r="G34" s="559"/>
      <c r="H34" s="303"/>
      <c r="I34" s="544"/>
      <c r="J34" s="294"/>
    </row>
    <row r="35" spans="1:11" ht="15" customHeight="1" x14ac:dyDescent="0.25">
      <c r="A35" s="533">
        <f t="shared" si="1"/>
        <v>21</v>
      </c>
      <c r="B35" s="557" t="s">
        <v>115</v>
      </c>
      <c r="C35" s="278">
        <f t="shared" si="0"/>
        <v>6</v>
      </c>
      <c r="D35" s="564">
        <f>D36+D37</f>
        <v>6</v>
      </c>
      <c r="E35" s="559"/>
      <c r="F35" s="559"/>
      <c r="G35" s="559"/>
      <c r="H35" s="303"/>
      <c r="I35" s="544"/>
      <c r="J35" s="294"/>
    </row>
    <row r="36" spans="1:11" ht="26.25" customHeight="1" x14ac:dyDescent="0.25">
      <c r="A36" s="533">
        <f t="shared" si="1"/>
        <v>22</v>
      </c>
      <c r="B36" s="569" t="s">
        <v>390</v>
      </c>
      <c r="C36" s="542">
        <f t="shared" si="0"/>
        <v>3</v>
      </c>
      <c r="D36" s="566">
        <v>3</v>
      </c>
      <c r="E36" s="551"/>
      <c r="F36" s="551"/>
      <c r="G36" s="551"/>
      <c r="H36" s="542"/>
      <c r="I36" s="544"/>
      <c r="J36" s="294"/>
    </row>
    <row r="37" spans="1:11" ht="15" customHeight="1" x14ac:dyDescent="0.25">
      <c r="A37" s="533">
        <f t="shared" si="1"/>
        <v>23</v>
      </c>
      <c r="B37" s="578" t="s">
        <v>71</v>
      </c>
      <c r="C37" s="542">
        <f t="shared" si="0"/>
        <v>3</v>
      </c>
      <c r="D37" s="579">
        <v>3</v>
      </c>
      <c r="E37" s="551"/>
      <c r="F37" s="551"/>
      <c r="G37" s="551"/>
      <c r="H37" s="542"/>
      <c r="I37" s="544"/>
      <c r="J37" s="294"/>
    </row>
    <row r="38" spans="1:11" ht="15" customHeight="1" x14ac:dyDescent="0.25">
      <c r="A38" s="533">
        <f t="shared" si="1"/>
        <v>24</v>
      </c>
      <c r="B38" s="580" t="s">
        <v>257</v>
      </c>
      <c r="C38" s="278">
        <f t="shared" si="0"/>
        <v>623</v>
      </c>
      <c r="D38" s="560">
        <f>D39+D40+D41</f>
        <v>589.45699999999999</v>
      </c>
      <c r="E38" s="559"/>
      <c r="F38" s="559"/>
      <c r="G38" s="559"/>
      <c r="H38" s="560">
        <f>H39+H40+H41</f>
        <v>33.542999999999999</v>
      </c>
      <c r="I38" s="581"/>
      <c r="J38" s="294"/>
    </row>
    <row r="39" spans="1:11" ht="15" customHeight="1" x14ac:dyDescent="0.25">
      <c r="A39" s="533">
        <f t="shared" si="1"/>
        <v>25</v>
      </c>
      <c r="B39" s="569" t="s">
        <v>234</v>
      </c>
      <c r="C39" s="542">
        <f t="shared" si="0"/>
        <v>66</v>
      </c>
      <c r="D39" s="555">
        <v>32.457000000000001</v>
      </c>
      <c r="E39" s="551"/>
      <c r="F39" s="551"/>
      <c r="G39" s="551"/>
      <c r="H39" s="573">
        <v>33.542999999999999</v>
      </c>
      <c r="I39" s="573"/>
      <c r="J39" s="294"/>
    </row>
    <row r="40" spans="1:11" ht="15" customHeight="1" x14ac:dyDescent="0.25">
      <c r="A40" s="533">
        <f t="shared" si="1"/>
        <v>26</v>
      </c>
      <c r="B40" s="556" t="s">
        <v>442</v>
      </c>
      <c r="C40" s="542">
        <f t="shared" si="0"/>
        <v>380</v>
      </c>
      <c r="D40" s="555">
        <v>380</v>
      </c>
      <c r="E40" s="551"/>
      <c r="F40" s="551"/>
      <c r="G40" s="551"/>
      <c r="H40" s="542"/>
      <c r="I40" s="582"/>
      <c r="J40" s="294"/>
    </row>
    <row r="41" spans="1:11" ht="15" customHeight="1" x14ac:dyDescent="0.25">
      <c r="A41" s="533">
        <f t="shared" si="1"/>
        <v>27</v>
      </c>
      <c r="B41" s="556" t="s">
        <v>443</v>
      </c>
      <c r="C41" s="542">
        <f t="shared" si="0"/>
        <v>177</v>
      </c>
      <c r="D41" s="555">
        <v>177</v>
      </c>
      <c r="E41" s="551"/>
      <c r="F41" s="551"/>
      <c r="G41" s="551"/>
      <c r="H41" s="542"/>
      <c r="I41" s="552"/>
      <c r="J41" s="294"/>
    </row>
    <row r="42" spans="1:11" ht="15" customHeight="1" x14ac:dyDescent="0.25">
      <c r="A42" s="533">
        <f t="shared" si="1"/>
        <v>28</v>
      </c>
      <c r="B42" s="557" t="s">
        <v>1</v>
      </c>
      <c r="C42" s="278">
        <f t="shared" si="0"/>
        <v>1562.57</v>
      </c>
      <c r="D42" s="564">
        <v>117.57</v>
      </c>
      <c r="E42" s="561">
        <v>1445</v>
      </c>
      <c r="F42" s="561"/>
      <c r="G42" s="561"/>
      <c r="H42" s="278"/>
      <c r="I42" s="544"/>
      <c r="J42" s="294"/>
      <c r="K42" s="173"/>
    </row>
    <row r="43" spans="1:11" ht="15" customHeight="1" x14ac:dyDescent="0.25">
      <c r="A43" s="533">
        <f t="shared" si="1"/>
        <v>29</v>
      </c>
      <c r="B43" s="557" t="s">
        <v>7</v>
      </c>
      <c r="C43" s="278">
        <f t="shared" si="0"/>
        <v>20.537999999999997</v>
      </c>
      <c r="D43" s="564">
        <f>20.112-0.274</f>
        <v>19.837999999999997</v>
      </c>
      <c r="E43" s="561">
        <v>0.5</v>
      </c>
      <c r="F43" s="561"/>
      <c r="G43" s="561">
        <v>0.2</v>
      </c>
      <c r="H43" s="278"/>
      <c r="I43" s="544"/>
      <c r="J43" s="294"/>
      <c r="K43" s="173"/>
    </row>
    <row r="44" spans="1:11" ht="15" customHeight="1" x14ac:dyDescent="0.25">
      <c r="A44" s="533">
        <f t="shared" si="1"/>
        <v>30</v>
      </c>
      <c r="B44" s="557" t="s">
        <v>8</v>
      </c>
      <c r="C44" s="278">
        <f t="shared" si="0"/>
        <v>15.067000000000002</v>
      </c>
      <c r="D44" s="564">
        <f>11.063-0.274</f>
        <v>10.789000000000001</v>
      </c>
      <c r="E44" s="561">
        <v>0.5</v>
      </c>
      <c r="F44" s="561"/>
      <c r="G44" s="561">
        <v>3.5</v>
      </c>
      <c r="H44" s="278">
        <v>0.27800000000000002</v>
      </c>
      <c r="I44" s="544"/>
      <c r="J44" s="583"/>
      <c r="K44" s="173"/>
    </row>
    <row r="45" spans="1:11" ht="15" customHeight="1" x14ac:dyDescent="0.25">
      <c r="A45" s="533">
        <f t="shared" si="1"/>
        <v>31</v>
      </c>
      <c r="B45" s="557" t="s">
        <v>9</v>
      </c>
      <c r="C45" s="278">
        <f t="shared" si="0"/>
        <v>19.114999999999998</v>
      </c>
      <c r="D45" s="564">
        <f>13.11-0.5</f>
        <v>12.61</v>
      </c>
      <c r="E45" s="561">
        <v>0.5</v>
      </c>
      <c r="F45" s="561"/>
      <c r="G45" s="561">
        <v>1</v>
      </c>
      <c r="H45" s="278">
        <v>5.0049999999999999</v>
      </c>
      <c r="I45" s="544"/>
      <c r="J45" s="303"/>
    </row>
    <row r="46" spans="1:11" ht="15" customHeight="1" x14ac:dyDescent="0.25">
      <c r="A46" s="533">
        <f t="shared" si="1"/>
        <v>32</v>
      </c>
      <c r="B46" s="557" t="s">
        <v>10</v>
      </c>
      <c r="C46" s="278">
        <f t="shared" si="0"/>
        <v>3.718</v>
      </c>
      <c r="D46" s="564">
        <f>3.976-0.3</f>
        <v>3.6760000000000002</v>
      </c>
      <c r="E46" s="561"/>
      <c r="F46" s="561"/>
      <c r="G46" s="561"/>
      <c r="H46" s="278">
        <v>4.2000000000000003E-2</v>
      </c>
      <c r="I46" s="544"/>
      <c r="J46" s="294"/>
    </row>
    <row r="47" spans="1:11" ht="15" customHeight="1" x14ac:dyDescent="0.25">
      <c r="A47" s="533">
        <f t="shared" si="1"/>
        <v>33</v>
      </c>
      <c r="B47" s="557" t="s">
        <v>11</v>
      </c>
      <c r="C47" s="278">
        <f t="shared" si="0"/>
        <v>26.746000000000002</v>
      </c>
      <c r="D47" s="564">
        <f>15.951-0.41</f>
        <v>15.541</v>
      </c>
      <c r="E47" s="561"/>
      <c r="F47" s="561"/>
      <c r="G47" s="561">
        <v>3.12</v>
      </c>
      <c r="H47" s="278">
        <v>8.0850000000000009</v>
      </c>
      <c r="I47" s="544"/>
      <c r="J47" s="294"/>
    </row>
    <row r="48" spans="1:11" ht="15" customHeight="1" x14ac:dyDescent="0.25">
      <c r="A48" s="533">
        <f t="shared" si="1"/>
        <v>34</v>
      </c>
      <c r="B48" s="557" t="s">
        <v>12</v>
      </c>
      <c r="C48" s="278">
        <f t="shared" si="0"/>
        <v>9.9989999999999988</v>
      </c>
      <c r="D48" s="564">
        <f>9.399-0.4</f>
        <v>8.9989999999999988</v>
      </c>
      <c r="E48" s="561">
        <v>0.5</v>
      </c>
      <c r="F48" s="561"/>
      <c r="G48" s="561">
        <v>0.5</v>
      </c>
      <c r="H48" s="278"/>
      <c r="I48" s="544"/>
      <c r="J48" s="294"/>
    </row>
    <row r="49" spans="1:10" ht="15" customHeight="1" x14ac:dyDescent="0.25">
      <c r="A49" s="533">
        <f t="shared" si="1"/>
        <v>35</v>
      </c>
      <c r="B49" s="557" t="s">
        <v>13</v>
      </c>
      <c r="C49" s="278">
        <f t="shared" si="0"/>
        <v>13.321999999999999</v>
      </c>
      <c r="D49" s="564">
        <f>12.732-0.41</f>
        <v>12.321999999999999</v>
      </c>
      <c r="E49" s="561">
        <v>0.5</v>
      </c>
      <c r="F49" s="561"/>
      <c r="G49" s="561">
        <v>0.5</v>
      </c>
      <c r="H49" s="278"/>
      <c r="I49" s="544"/>
      <c r="J49" s="294"/>
    </row>
    <row r="50" spans="1:10" ht="15" customHeight="1" x14ac:dyDescent="0.25">
      <c r="A50" s="533">
        <f t="shared" si="1"/>
        <v>36</v>
      </c>
      <c r="B50" s="557" t="s">
        <v>14</v>
      </c>
      <c r="C50" s="278">
        <f t="shared" si="0"/>
        <v>9.738999999999999</v>
      </c>
      <c r="D50" s="564">
        <f>8.793-0.2</f>
        <v>8.593</v>
      </c>
      <c r="E50" s="561"/>
      <c r="F50" s="561"/>
      <c r="G50" s="561">
        <v>0.55200000000000005</v>
      </c>
      <c r="H50" s="278">
        <v>0.59399999999999997</v>
      </c>
      <c r="I50" s="544"/>
      <c r="J50" s="294"/>
    </row>
    <row r="51" spans="1:10" ht="15" customHeight="1" x14ac:dyDescent="0.25">
      <c r="A51" s="533">
        <f t="shared" si="1"/>
        <v>37</v>
      </c>
      <c r="B51" s="557" t="s">
        <v>26</v>
      </c>
      <c r="C51" s="278">
        <f t="shared" si="0"/>
        <v>10.411</v>
      </c>
      <c r="D51" s="564">
        <f>5.063-0.44</f>
        <v>4.6229999999999993</v>
      </c>
      <c r="E51" s="561">
        <v>0.5</v>
      </c>
      <c r="F51" s="561"/>
      <c r="G51" s="561">
        <v>1.58</v>
      </c>
      <c r="H51" s="278">
        <v>3.7080000000000002</v>
      </c>
      <c r="I51" s="544"/>
      <c r="J51" s="294"/>
    </row>
    <row r="52" spans="1:10" ht="15" customHeight="1" thickBot="1" x14ac:dyDescent="0.3">
      <c r="A52" s="584">
        <f t="shared" si="1"/>
        <v>38</v>
      </c>
      <c r="B52" s="585" t="s">
        <v>15</v>
      </c>
      <c r="C52" s="586">
        <f t="shared" si="0"/>
        <v>14.415000000000001</v>
      </c>
      <c r="D52" s="558">
        <f>9.534-0.29</f>
        <v>9.2440000000000015</v>
      </c>
      <c r="E52" s="587"/>
      <c r="F52" s="588"/>
      <c r="G52" s="588">
        <v>1.968</v>
      </c>
      <c r="H52" s="538">
        <v>3.2029999999999998</v>
      </c>
      <c r="I52" s="581"/>
      <c r="J52" s="589"/>
    </row>
    <row r="53" spans="1:10" ht="32.25" customHeight="1" thickBot="1" x14ac:dyDescent="0.3">
      <c r="A53" s="525">
        <f t="shared" si="1"/>
        <v>39</v>
      </c>
      <c r="B53" s="590" t="s">
        <v>120</v>
      </c>
      <c r="C53" s="530">
        <f t="shared" si="0"/>
        <v>23930.900999999994</v>
      </c>
      <c r="D53" s="591">
        <f>D54+SUM(D67:D100)</f>
        <v>11322.700999999999</v>
      </c>
      <c r="E53" s="528">
        <f>E54+SUM(E67:E100)</f>
        <v>402.70099999999996</v>
      </c>
      <c r="F53" s="528">
        <f>F54+SUM(F67:F100)</f>
        <v>10821.4</v>
      </c>
      <c r="G53" s="528">
        <f>SUM(G67:G100)</f>
        <v>675.02800000000002</v>
      </c>
      <c r="H53" s="528">
        <f>H54+SUM(H67:H100)</f>
        <v>193.51799999999997</v>
      </c>
      <c r="I53" s="592">
        <f>I54+SUM(I67:I100)</f>
        <v>515.553</v>
      </c>
      <c r="J53" s="532"/>
    </row>
    <row r="54" spans="1:10" ht="15" customHeight="1" x14ac:dyDescent="0.25">
      <c r="A54" s="533">
        <f t="shared" si="1"/>
        <v>40</v>
      </c>
      <c r="B54" s="545" t="s">
        <v>241</v>
      </c>
      <c r="C54" s="535">
        <f t="shared" si="0"/>
        <v>1072.3905500000001</v>
      </c>
      <c r="D54" s="547">
        <f>SUM(D55:D66)</f>
        <v>336.28154999999998</v>
      </c>
      <c r="E54" s="547">
        <f t="shared" ref="E54:H54" si="2">SUM(E55:E66)</f>
        <v>148</v>
      </c>
      <c r="F54" s="547">
        <f t="shared" si="2"/>
        <v>10</v>
      </c>
      <c r="G54" s="547"/>
      <c r="H54" s="547">
        <f t="shared" si="2"/>
        <v>62.555999999999997</v>
      </c>
      <c r="I54" s="593">
        <f>SUM(I55:I66)</f>
        <v>515.553</v>
      </c>
      <c r="J54" s="540"/>
    </row>
    <row r="55" spans="1:10" ht="15" customHeight="1" x14ac:dyDescent="0.25">
      <c r="A55" s="533">
        <f t="shared" si="1"/>
        <v>41</v>
      </c>
      <c r="B55" s="577" t="s">
        <v>226</v>
      </c>
      <c r="C55" s="542">
        <f t="shared" si="0"/>
        <v>10</v>
      </c>
      <c r="D55" s="566"/>
      <c r="E55" s="551"/>
      <c r="F55" s="551">
        <v>10</v>
      </c>
      <c r="G55" s="551"/>
      <c r="H55" s="542"/>
      <c r="I55" s="552"/>
      <c r="J55" s="294"/>
    </row>
    <row r="56" spans="1:10" ht="15" customHeight="1" x14ac:dyDescent="0.25">
      <c r="A56" s="533">
        <f t="shared" si="1"/>
        <v>42</v>
      </c>
      <c r="B56" s="541" t="s">
        <v>74</v>
      </c>
      <c r="C56" s="542">
        <f t="shared" si="0"/>
        <v>158</v>
      </c>
      <c r="D56" s="555">
        <v>10</v>
      </c>
      <c r="E56" s="551">
        <v>148</v>
      </c>
      <c r="F56" s="551"/>
      <c r="G56" s="551"/>
      <c r="H56" s="542"/>
      <c r="I56" s="552"/>
      <c r="J56" s="294"/>
    </row>
    <row r="57" spans="1:10" ht="15" customHeight="1" x14ac:dyDescent="0.25">
      <c r="A57" s="533">
        <f t="shared" si="1"/>
        <v>43</v>
      </c>
      <c r="B57" s="541" t="s">
        <v>75</v>
      </c>
      <c r="C57" s="542">
        <f t="shared" si="0"/>
        <v>2</v>
      </c>
      <c r="D57" s="566">
        <v>2</v>
      </c>
      <c r="E57" s="551"/>
      <c r="F57" s="551"/>
      <c r="G57" s="551"/>
      <c r="H57" s="542"/>
      <c r="I57" s="552"/>
      <c r="J57" s="294"/>
    </row>
    <row r="58" spans="1:10" ht="15" customHeight="1" x14ac:dyDescent="0.25">
      <c r="A58" s="533">
        <f t="shared" si="1"/>
        <v>44</v>
      </c>
      <c r="B58" s="541" t="s">
        <v>76</v>
      </c>
      <c r="C58" s="542">
        <f t="shared" si="0"/>
        <v>15.1</v>
      </c>
      <c r="D58" s="566">
        <v>15.1</v>
      </c>
      <c r="E58" s="551"/>
      <c r="F58" s="551"/>
      <c r="G58" s="551"/>
      <c r="H58" s="542"/>
      <c r="I58" s="552"/>
      <c r="J58" s="294"/>
    </row>
    <row r="59" spans="1:10" ht="15" customHeight="1" x14ac:dyDescent="0.25">
      <c r="A59" s="533">
        <f t="shared" si="1"/>
        <v>45</v>
      </c>
      <c r="B59" s="541" t="s">
        <v>251</v>
      </c>
      <c r="C59" s="542">
        <f t="shared" si="0"/>
        <v>4.7</v>
      </c>
      <c r="D59" s="566">
        <v>4.7</v>
      </c>
      <c r="E59" s="551"/>
      <c r="F59" s="551"/>
      <c r="G59" s="551"/>
      <c r="H59" s="542"/>
      <c r="I59" s="552"/>
      <c r="J59" s="294"/>
    </row>
    <row r="60" spans="1:10" ht="28.5" customHeight="1" x14ac:dyDescent="0.25">
      <c r="A60" s="533">
        <f t="shared" si="1"/>
        <v>46</v>
      </c>
      <c r="B60" s="577" t="s">
        <v>634</v>
      </c>
      <c r="C60" s="542">
        <f t="shared" si="0"/>
        <v>6.8155500000000018</v>
      </c>
      <c r="D60" s="690">
        <f>23-16.18445</f>
        <v>6.8155500000000018</v>
      </c>
      <c r="E60" s="551"/>
      <c r="F60" s="551"/>
      <c r="G60" s="551"/>
      <c r="H60" s="542"/>
      <c r="I60" s="552"/>
      <c r="J60" s="294"/>
    </row>
    <row r="61" spans="1:10" ht="31.5" customHeight="1" x14ac:dyDescent="0.25">
      <c r="A61" s="533">
        <f t="shared" si="1"/>
        <v>47</v>
      </c>
      <c r="B61" s="569" t="s">
        <v>252</v>
      </c>
      <c r="C61" s="542">
        <f t="shared" si="0"/>
        <v>30</v>
      </c>
      <c r="D61" s="555">
        <v>30</v>
      </c>
      <c r="E61" s="551"/>
      <c r="F61" s="551"/>
      <c r="G61" s="551"/>
      <c r="H61" s="542"/>
      <c r="I61" s="552"/>
      <c r="J61" s="294"/>
    </row>
    <row r="62" spans="1:10" ht="15" customHeight="1" x14ac:dyDescent="0.25">
      <c r="A62" s="533">
        <f t="shared" si="1"/>
        <v>48</v>
      </c>
      <c r="B62" s="569" t="s">
        <v>214</v>
      </c>
      <c r="C62" s="542">
        <f t="shared" si="0"/>
        <v>70</v>
      </c>
      <c r="D62" s="555">
        <v>70</v>
      </c>
      <c r="E62" s="551"/>
      <c r="F62" s="551"/>
      <c r="G62" s="551"/>
      <c r="H62" s="542"/>
      <c r="I62" s="552"/>
      <c r="J62" s="294"/>
    </row>
    <row r="63" spans="1:10" ht="15" customHeight="1" x14ac:dyDescent="0.25">
      <c r="A63" s="533">
        <f t="shared" si="1"/>
        <v>49</v>
      </c>
      <c r="B63" s="569" t="s">
        <v>398</v>
      </c>
      <c r="C63" s="542">
        <f t="shared" si="0"/>
        <v>30</v>
      </c>
      <c r="D63" s="555">
        <v>30</v>
      </c>
      <c r="E63" s="551"/>
      <c r="F63" s="551"/>
      <c r="G63" s="551"/>
      <c r="H63" s="542"/>
      <c r="I63" s="552"/>
      <c r="J63" s="294"/>
    </row>
    <row r="64" spans="1:10" ht="15" customHeight="1" x14ac:dyDescent="0.25">
      <c r="A64" s="533">
        <f t="shared" si="1"/>
        <v>50</v>
      </c>
      <c r="B64" s="569" t="s">
        <v>259</v>
      </c>
      <c r="C64" s="542">
        <f t="shared" si="0"/>
        <v>7</v>
      </c>
      <c r="D64" s="555">
        <v>7</v>
      </c>
      <c r="E64" s="551"/>
      <c r="F64" s="551"/>
      <c r="G64" s="551"/>
      <c r="H64" s="542"/>
      <c r="I64" s="552"/>
      <c r="J64" s="294"/>
    </row>
    <row r="65" spans="1:10" ht="15" customHeight="1" x14ac:dyDescent="0.25">
      <c r="A65" s="533">
        <f t="shared" si="1"/>
        <v>51</v>
      </c>
      <c r="B65" s="556" t="s">
        <v>261</v>
      </c>
      <c r="C65" s="542">
        <f t="shared" si="0"/>
        <v>14</v>
      </c>
      <c r="D65" s="542">
        <v>14</v>
      </c>
      <c r="E65" s="594"/>
      <c r="F65" s="594"/>
      <c r="G65" s="594"/>
      <c r="H65" s="542"/>
      <c r="I65" s="552"/>
      <c r="J65" s="294"/>
    </row>
    <row r="66" spans="1:10" ht="15" customHeight="1" x14ac:dyDescent="0.25">
      <c r="A66" s="533">
        <f t="shared" si="1"/>
        <v>52</v>
      </c>
      <c r="B66" s="595" t="s">
        <v>550</v>
      </c>
      <c r="C66" s="542">
        <f t="shared" si="0"/>
        <v>724.77499999999998</v>
      </c>
      <c r="D66" s="542">
        <v>146.666</v>
      </c>
      <c r="E66" s="552"/>
      <c r="F66" s="542"/>
      <c r="G66" s="552"/>
      <c r="H66" s="542">
        <v>62.555999999999997</v>
      </c>
      <c r="I66" s="573">
        <v>515.553</v>
      </c>
      <c r="J66" s="294"/>
    </row>
    <row r="67" spans="1:10" ht="15" customHeight="1" x14ac:dyDescent="0.25">
      <c r="A67" s="533">
        <f t="shared" si="1"/>
        <v>53</v>
      </c>
      <c r="B67" s="545" t="s">
        <v>245</v>
      </c>
      <c r="C67" s="596">
        <f t="shared" si="0"/>
        <v>762.32299999999998</v>
      </c>
      <c r="D67" s="597">
        <v>447.83300000000003</v>
      </c>
      <c r="E67" s="596">
        <f>11.399+1.44</f>
        <v>12.838999999999999</v>
      </c>
      <c r="F67" s="596">
        <v>265.48200000000003</v>
      </c>
      <c r="G67" s="537">
        <v>30</v>
      </c>
      <c r="H67" s="278">
        <v>6.1689999999999996</v>
      </c>
      <c r="I67" s="544"/>
      <c r="J67" s="294"/>
    </row>
    <row r="68" spans="1:10" ht="15" customHeight="1" x14ac:dyDescent="0.25">
      <c r="A68" s="533">
        <f t="shared" si="1"/>
        <v>54</v>
      </c>
      <c r="B68" s="557" t="s">
        <v>246</v>
      </c>
      <c r="C68" s="278">
        <f t="shared" si="0"/>
        <v>1294.9830000000002</v>
      </c>
      <c r="D68" s="560">
        <v>756.11599999999999</v>
      </c>
      <c r="E68" s="278">
        <f>7.599+2.16</f>
        <v>9.7590000000000003</v>
      </c>
      <c r="F68" s="278">
        <v>469.95</v>
      </c>
      <c r="G68" s="561">
        <v>55.027999999999999</v>
      </c>
      <c r="H68" s="278">
        <v>4.13</v>
      </c>
      <c r="I68" s="544"/>
      <c r="J68" s="294"/>
    </row>
    <row r="69" spans="1:10" ht="15" customHeight="1" x14ac:dyDescent="0.25">
      <c r="A69" s="533">
        <f t="shared" si="1"/>
        <v>55</v>
      </c>
      <c r="B69" s="557" t="s">
        <v>247</v>
      </c>
      <c r="C69" s="278">
        <f t="shared" si="0"/>
        <v>550.74599999999998</v>
      </c>
      <c r="D69" s="564">
        <v>327.625</v>
      </c>
      <c r="E69" s="278">
        <f>7.599+0.72</f>
        <v>8.3190000000000008</v>
      </c>
      <c r="F69" s="278">
        <v>193.74299999999999</v>
      </c>
      <c r="G69" s="561">
        <v>17.5</v>
      </c>
      <c r="H69" s="278">
        <v>3.5590000000000002</v>
      </c>
      <c r="I69" s="544"/>
      <c r="J69" s="294"/>
    </row>
    <row r="70" spans="1:10" ht="15" customHeight="1" x14ac:dyDescent="0.25">
      <c r="A70" s="533">
        <f t="shared" si="1"/>
        <v>56</v>
      </c>
      <c r="B70" s="557" t="s">
        <v>248</v>
      </c>
      <c r="C70" s="278">
        <f t="shared" si="0"/>
        <v>1004.5269999999999</v>
      </c>
      <c r="D70" s="564">
        <f>510.466+15</f>
        <v>525.46600000000001</v>
      </c>
      <c r="E70" s="278">
        <v>0.72</v>
      </c>
      <c r="F70" s="278">
        <v>424.642</v>
      </c>
      <c r="G70" s="561">
        <v>50</v>
      </c>
      <c r="H70" s="278">
        <v>3.6989999999999998</v>
      </c>
      <c r="I70" s="544"/>
      <c r="J70" s="294"/>
    </row>
    <row r="71" spans="1:10" ht="15" customHeight="1" x14ac:dyDescent="0.25">
      <c r="A71" s="533">
        <f t="shared" si="1"/>
        <v>57</v>
      </c>
      <c r="B71" s="557" t="s">
        <v>249</v>
      </c>
      <c r="C71" s="278">
        <f t="shared" si="0"/>
        <v>467.20600000000002</v>
      </c>
      <c r="D71" s="564">
        <v>234.803</v>
      </c>
      <c r="E71" s="561"/>
      <c r="F71" s="561">
        <v>206.37700000000001</v>
      </c>
      <c r="G71" s="561">
        <v>16.3</v>
      </c>
      <c r="H71" s="278">
        <v>9.7260000000000009</v>
      </c>
      <c r="I71" s="544"/>
      <c r="J71" s="294"/>
    </row>
    <row r="72" spans="1:10" ht="15" customHeight="1" x14ac:dyDescent="0.25">
      <c r="A72" s="533">
        <f t="shared" si="1"/>
        <v>58</v>
      </c>
      <c r="B72" s="557" t="s">
        <v>250</v>
      </c>
      <c r="C72" s="278">
        <f t="shared" si="0"/>
        <v>1297.432</v>
      </c>
      <c r="D72" s="564">
        <v>731.29499999999996</v>
      </c>
      <c r="E72" s="559"/>
      <c r="F72" s="561">
        <v>475.55</v>
      </c>
      <c r="G72" s="561">
        <v>67.400000000000006</v>
      </c>
      <c r="H72" s="278">
        <v>23.187000000000001</v>
      </c>
      <c r="I72" s="544"/>
      <c r="J72" s="294"/>
    </row>
    <row r="73" spans="1:10" ht="15" customHeight="1" x14ac:dyDescent="0.25">
      <c r="A73" s="533">
        <f t="shared" si="1"/>
        <v>59</v>
      </c>
      <c r="B73" s="557" t="s">
        <v>17</v>
      </c>
      <c r="C73" s="278">
        <f t="shared" si="0"/>
        <v>1401.47</v>
      </c>
      <c r="D73" s="560">
        <v>363.11500000000001</v>
      </c>
      <c r="E73" s="561"/>
      <c r="F73" s="278">
        <v>1017.5549999999999</v>
      </c>
      <c r="G73" s="561">
        <v>20.8</v>
      </c>
      <c r="H73" s="278"/>
      <c r="I73" s="544"/>
      <c r="J73" s="294"/>
    </row>
    <row r="74" spans="1:10" ht="30.75" customHeight="1" x14ac:dyDescent="0.25">
      <c r="A74" s="533">
        <f t="shared" si="1"/>
        <v>60</v>
      </c>
      <c r="B74" s="598" t="s">
        <v>635</v>
      </c>
      <c r="C74" s="278">
        <f t="shared" ref="C74:C133" si="3">D74+E74+F74+G74+H74+I74</f>
        <v>218.09000000000003</v>
      </c>
      <c r="D74" s="564">
        <v>94.239000000000004</v>
      </c>
      <c r="E74" s="561">
        <v>3.8</v>
      </c>
      <c r="F74" s="561">
        <v>111.751</v>
      </c>
      <c r="G74" s="561">
        <v>8.3000000000000007</v>
      </c>
      <c r="H74" s="278"/>
      <c r="I74" s="544"/>
      <c r="J74" s="294"/>
    </row>
    <row r="75" spans="1:10" ht="15" customHeight="1" x14ac:dyDescent="0.25">
      <c r="A75" s="533">
        <f t="shared" si="1"/>
        <v>61</v>
      </c>
      <c r="B75" s="557" t="s">
        <v>253</v>
      </c>
      <c r="C75" s="278">
        <f t="shared" si="3"/>
        <v>2666.0160000000001</v>
      </c>
      <c r="D75" s="560">
        <v>959.02099999999996</v>
      </c>
      <c r="E75" s="561">
        <v>22.395</v>
      </c>
      <c r="F75" s="278">
        <v>1593.5730000000001</v>
      </c>
      <c r="G75" s="561">
        <v>87</v>
      </c>
      <c r="H75" s="278">
        <v>4.0270000000000001</v>
      </c>
      <c r="I75" s="544"/>
      <c r="J75" s="294"/>
    </row>
    <row r="76" spans="1:10" ht="35.25" customHeight="1" x14ac:dyDescent="0.25">
      <c r="A76" s="533">
        <f t="shared" si="1"/>
        <v>62</v>
      </c>
      <c r="B76" s="580" t="s">
        <v>636</v>
      </c>
      <c r="C76" s="278">
        <f t="shared" si="3"/>
        <v>299.91899999999998</v>
      </c>
      <c r="D76" s="564">
        <f>13.126+5.318</f>
        <v>18.443999999999999</v>
      </c>
      <c r="E76" s="549">
        <v>6.4450000000000003</v>
      </c>
      <c r="F76" s="561">
        <v>275.02999999999997</v>
      </c>
      <c r="G76" s="561"/>
      <c r="H76" s="278"/>
      <c r="I76" s="544"/>
      <c r="J76" s="294"/>
    </row>
    <row r="77" spans="1:10" ht="31.5" customHeight="1" x14ac:dyDescent="0.25">
      <c r="A77" s="533">
        <f t="shared" si="1"/>
        <v>63</v>
      </c>
      <c r="B77" s="580" t="s">
        <v>556</v>
      </c>
      <c r="C77" s="278">
        <f t="shared" si="3"/>
        <v>18.855</v>
      </c>
      <c r="D77" s="564"/>
      <c r="E77" s="561">
        <v>0.7</v>
      </c>
      <c r="F77" s="561">
        <v>18.155000000000001</v>
      </c>
      <c r="G77" s="561"/>
      <c r="H77" s="278"/>
      <c r="I77" s="544"/>
      <c r="J77" s="294"/>
    </row>
    <row r="78" spans="1:10" ht="15" customHeight="1" x14ac:dyDescent="0.25">
      <c r="A78" s="533">
        <f t="shared" si="1"/>
        <v>64</v>
      </c>
      <c r="B78" s="557" t="s">
        <v>90</v>
      </c>
      <c r="C78" s="278">
        <f t="shared" si="3"/>
        <v>2255.038</v>
      </c>
      <c r="D78" s="564">
        <v>650.32600000000002</v>
      </c>
      <c r="E78" s="278">
        <v>14.613</v>
      </c>
      <c r="F78" s="278">
        <v>1550.729</v>
      </c>
      <c r="G78" s="561">
        <v>39</v>
      </c>
      <c r="H78" s="278">
        <v>0.37</v>
      </c>
      <c r="I78" s="544"/>
      <c r="J78" s="294"/>
    </row>
    <row r="79" spans="1:10" ht="15" customHeight="1" x14ac:dyDescent="0.25">
      <c r="A79" s="533">
        <f t="shared" si="1"/>
        <v>65</v>
      </c>
      <c r="B79" s="557" t="s">
        <v>19</v>
      </c>
      <c r="C79" s="278">
        <f t="shared" si="3"/>
        <v>1388.221</v>
      </c>
      <c r="D79" s="564">
        <v>548.00800000000004</v>
      </c>
      <c r="E79" s="278"/>
      <c r="F79" s="278">
        <v>811.16200000000003</v>
      </c>
      <c r="G79" s="561">
        <v>25</v>
      </c>
      <c r="H79" s="278">
        <v>4.0510000000000002</v>
      </c>
      <c r="I79" s="544"/>
      <c r="J79" s="294"/>
    </row>
    <row r="80" spans="1:10" ht="15" customHeight="1" x14ac:dyDescent="0.25">
      <c r="A80" s="533">
        <f t="shared" si="1"/>
        <v>66</v>
      </c>
      <c r="B80" s="557" t="s">
        <v>628</v>
      </c>
      <c r="C80" s="278">
        <f t="shared" si="3"/>
        <v>92.418999999999997</v>
      </c>
      <c r="D80" s="564">
        <v>84.816000000000003</v>
      </c>
      <c r="E80" s="561"/>
      <c r="F80" s="561"/>
      <c r="G80" s="561">
        <v>7</v>
      </c>
      <c r="H80" s="278">
        <v>0.60299999999999998</v>
      </c>
      <c r="I80" s="544"/>
      <c r="J80" s="294"/>
    </row>
    <row r="81" spans="1:10" ht="15" customHeight="1" x14ac:dyDescent="0.25">
      <c r="A81" s="533">
        <f t="shared" ref="A81:A147" si="4">A80+1</f>
        <v>67</v>
      </c>
      <c r="B81" s="557" t="s">
        <v>255</v>
      </c>
      <c r="C81" s="278">
        <f t="shared" si="3"/>
        <v>1508.712</v>
      </c>
      <c r="D81" s="564">
        <v>610.21299999999997</v>
      </c>
      <c r="E81" s="278"/>
      <c r="F81" s="561">
        <v>873.84799999999996</v>
      </c>
      <c r="G81" s="561">
        <v>23</v>
      </c>
      <c r="H81" s="278">
        <v>1.651</v>
      </c>
      <c r="I81" s="544"/>
      <c r="J81" s="294"/>
    </row>
    <row r="82" spans="1:10" ht="35.25" customHeight="1" x14ac:dyDescent="0.25">
      <c r="A82" s="533">
        <f t="shared" si="4"/>
        <v>68</v>
      </c>
      <c r="B82" s="598" t="s">
        <v>629</v>
      </c>
      <c r="C82" s="278">
        <f t="shared" si="3"/>
        <v>367.339</v>
      </c>
      <c r="D82" s="564">
        <v>239.14</v>
      </c>
      <c r="E82" s="561"/>
      <c r="F82" s="561">
        <v>107.05200000000001</v>
      </c>
      <c r="G82" s="561">
        <v>16</v>
      </c>
      <c r="H82" s="278">
        <v>5.1470000000000002</v>
      </c>
      <c r="I82" s="544"/>
      <c r="J82" s="294"/>
    </row>
    <row r="83" spans="1:10" ht="29.25" customHeight="1" x14ac:dyDescent="0.25">
      <c r="A83" s="533">
        <f t="shared" si="4"/>
        <v>69</v>
      </c>
      <c r="B83" s="599" t="s">
        <v>637</v>
      </c>
      <c r="C83" s="278">
        <f t="shared" si="3"/>
        <v>99.451000000000008</v>
      </c>
      <c r="D83" s="564">
        <v>93.483000000000004</v>
      </c>
      <c r="E83" s="561"/>
      <c r="F83" s="561"/>
      <c r="G83" s="561">
        <v>4.5</v>
      </c>
      <c r="H83" s="278">
        <v>1.468</v>
      </c>
      <c r="I83" s="544"/>
      <c r="J83" s="294"/>
    </row>
    <row r="84" spans="1:10" ht="15" customHeight="1" x14ac:dyDescent="0.25">
      <c r="A84" s="533">
        <f t="shared" si="4"/>
        <v>70</v>
      </c>
      <c r="B84" s="557" t="s">
        <v>21</v>
      </c>
      <c r="C84" s="278">
        <f t="shared" si="3"/>
        <v>1109.461</v>
      </c>
      <c r="D84" s="564">
        <v>365.61799999999999</v>
      </c>
      <c r="E84" s="303"/>
      <c r="F84" s="278">
        <v>721.10299999999995</v>
      </c>
      <c r="G84" s="561">
        <v>21</v>
      </c>
      <c r="H84" s="278">
        <v>1.74</v>
      </c>
      <c r="I84" s="544"/>
      <c r="J84" s="294"/>
    </row>
    <row r="85" spans="1:10" ht="31.5" customHeight="1" x14ac:dyDescent="0.25">
      <c r="A85" s="533">
        <f t="shared" si="4"/>
        <v>71</v>
      </c>
      <c r="B85" s="598" t="s">
        <v>631</v>
      </c>
      <c r="C85" s="278">
        <f t="shared" si="3"/>
        <v>385.40700000000004</v>
      </c>
      <c r="D85" s="564">
        <v>207.834</v>
      </c>
      <c r="E85" s="278">
        <f>7.599+2.16</f>
        <v>9.7590000000000003</v>
      </c>
      <c r="F85" s="278">
        <v>152.727</v>
      </c>
      <c r="G85" s="561">
        <v>14.4</v>
      </c>
      <c r="H85" s="278">
        <v>0.68700000000000006</v>
      </c>
      <c r="I85" s="544"/>
      <c r="J85" s="294"/>
    </row>
    <row r="86" spans="1:10" ht="15" customHeight="1" x14ac:dyDescent="0.25">
      <c r="A86" s="533">
        <f t="shared" si="4"/>
        <v>72</v>
      </c>
      <c r="B86" s="557" t="s">
        <v>632</v>
      </c>
      <c r="C86" s="278">
        <f t="shared" si="3"/>
        <v>73.477999999999994</v>
      </c>
      <c r="D86" s="564">
        <v>68.477000000000004</v>
      </c>
      <c r="E86" s="303"/>
      <c r="F86" s="278"/>
      <c r="G86" s="561">
        <v>2.6</v>
      </c>
      <c r="H86" s="278">
        <v>2.4009999999999998</v>
      </c>
      <c r="I86" s="544"/>
      <c r="J86" s="294"/>
    </row>
    <row r="87" spans="1:10" ht="15" customHeight="1" x14ac:dyDescent="0.25">
      <c r="A87" s="533">
        <f t="shared" si="4"/>
        <v>73</v>
      </c>
      <c r="B87" s="557" t="s">
        <v>92</v>
      </c>
      <c r="C87" s="278">
        <f t="shared" si="3"/>
        <v>1452.472</v>
      </c>
      <c r="D87" s="564">
        <f>576.81+7.76</f>
        <v>584.56999999999994</v>
      </c>
      <c r="E87" s="278">
        <v>0.72</v>
      </c>
      <c r="F87" s="278">
        <v>845.476</v>
      </c>
      <c r="G87" s="561">
        <v>19</v>
      </c>
      <c r="H87" s="278">
        <v>2.706</v>
      </c>
      <c r="I87" s="544"/>
      <c r="J87" s="294"/>
    </row>
    <row r="88" spans="1:10" ht="15" customHeight="1" x14ac:dyDescent="0.25">
      <c r="A88" s="533">
        <f t="shared" si="4"/>
        <v>74</v>
      </c>
      <c r="B88" s="557" t="s">
        <v>32</v>
      </c>
      <c r="C88" s="278">
        <f t="shared" si="3"/>
        <v>616.05799999999999</v>
      </c>
      <c r="D88" s="564">
        <v>180.619</v>
      </c>
      <c r="E88" s="278">
        <v>122.5</v>
      </c>
      <c r="F88" s="561">
        <v>305.10599999999999</v>
      </c>
      <c r="G88" s="561">
        <v>7.1</v>
      </c>
      <c r="H88" s="278">
        <v>0.73299999999999998</v>
      </c>
      <c r="I88" s="544"/>
      <c r="J88" s="294"/>
    </row>
    <row r="89" spans="1:10" ht="15" customHeight="1" x14ac:dyDescent="0.25">
      <c r="A89" s="533">
        <f t="shared" si="4"/>
        <v>75</v>
      </c>
      <c r="B89" s="557" t="s">
        <v>93</v>
      </c>
      <c r="C89" s="278">
        <f t="shared" si="3"/>
        <v>744.11162000000002</v>
      </c>
      <c r="D89" s="691">
        <f>659.644+3.83362</f>
        <v>663.47762</v>
      </c>
      <c r="E89" s="561"/>
      <c r="F89" s="561">
        <v>31</v>
      </c>
      <c r="G89" s="561">
        <f>33+4.5</f>
        <v>37.5</v>
      </c>
      <c r="H89" s="278">
        <v>12.134</v>
      </c>
      <c r="I89" s="544"/>
      <c r="J89" s="294"/>
    </row>
    <row r="90" spans="1:10" ht="15" customHeight="1" x14ac:dyDescent="0.25">
      <c r="A90" s="533">
        <f t="shared" si="4"/>
        <v>76</v>
      </c>
      <c r="B90" s="557" t="s">
        <v>638</v>
      </c>
      <c r="C90" s="278">
        <f t="shared" si="3"/>
        <v>253.11116000000001</v>
      </c>
      <c r="D90" s="692">
        <f>216.679+1.89616</f>
        <v>218.57516000000001</v>
      </c>
      <c r="E90" s="559"/>
      <c r="F90" s="561">
        <v>17</v>
      </c>
      <c r="G90" s="561">
        <v>15</v>
      </c>
      <c r="H90" s="278">
        <v>2.536</v>
      </c>
      <c r="I90" s="544"/>
      <c r="J90" s="294"/>
    </row>
    <row r="91" spans="1:10" ht="15" customHeight="1" x14ac:dyDescent="0.25">
      <c r="A91" s="533">
        <f t="shared" si="4"/>
        <v>77</v>
      </c>
      <c r="B91" s="557" t="s">
        <v>227</v>
      </c>
      <c r="C91" s="278">
        <f t="shared" si="3"/>
        <v>391.3777</v>
      </c>
      <c r="D91" s="691">
        <f>351.453+1.0467</f>
        <v>352.49969999999996</v>
      </c>
      <c r="E91" s="561"/>
      <c r="F91" s="561">
        <v>11.535</v>
      </c>
      <c r="G91" s="561">
        <v>17.100000000000001</v>
      </c>
      <c r="H91" s="278">
        <v>10.243</v>
      </c>
      <c r="I91" s="544"/>
      <c r="J91" s="294"/>
    </row>
    <row r="92" spans="1:10" ht="15" customHeight="1" x14ac:dyDescent="0.25">
      <c r="A92" s="533">
        <f t="shared" si="4"/>
        <v>78</v>
      </c>
      <c r="B92" s="600" t="s">
        <v>22</v>
      </c>
      <c r="C92" s="278">
        <f t="shared" si="3"/>
        <v>433.12099999999998</v>
      </c>
      <c r="D92" s="560">
        <f>220.199+1.5</f>
        <v>221.69900000000001</v>
      </c>
      <c r="E92" s="561">
        <v>26.213999999999999</v>
      </c>
      <c r="F92" s="561">
        <v>155.86099999999999</v>
      </c>
      <c r="G92" s="561">
        <v>23.5</v>
      </c>
      <c r="H92" s="278">
        <v>5.8470000000000004</v>
      </c>
      <c r="I92" s="544"/>
      <c r="J92" s="294"/>
    </row>
    <row r="93" spans="1:10" ht="15" customHeight="1" x14ac:dyDescent="0.25">
      <c r="A93" s="533">
        <f t="shared" si="4"/>
        <v>79</v>
      </c>
      <c r="B93" s="557" t="s">
        <v>94</v>
      </c>
      <c r="C93" s="278">
        <f t="shared" si="3"/>
        <v>501.53877999999997</v>
      </c>
      <c r="D93" s="601">
        <f>362.305+0.80878</f>
        <v>363.11378000000002</v>
      </c>
      <c r="E93" s="278">
        <v>7.5990000000000002</v>
      </c>
      <c r="F93" s="278">
        <v>108.45099999999999</v>
      </c>
      <c r="G93" s="561">
        <v>19.5</v>
      </c>
      <c r="H93" s="278">
        <v>2.875</v>
      </c>
      <c r="I93" s="544"/>
      <c r="J93" s="294"/>
    </row>
    <row r="94" spans="1:10" ht="15" customHeight="1" x14ac:dyDescent="0.25">
      <c r="A94" s="533">
        <f t="shared" si="4"/>
        <v>80</v>
      </c>
      <c r="B94" s="557" t="s">
        <v>138</v>
      </c>
      <c r="C94" s="278">
        <f t="shared" si="3"/>
        <v>336.84500000000003</v>
      </c>
      <c r="D94" s="693">
        <v>251.09</v>
      </c>
      <c r="E94" s="278">
        <f>7.599+0.72</f>
        <v>8.3190000000000008</v>
      </c>
      <c r="F94" s="278">
        <v>68.542000000000002</v>
      </c>
      <c r="G94" s="561">
        <f>6+1.5</f>
        <v>7.5</v>
      </c>
      <c r="H94" s="278">
        <v>1.3939999999999999</v>
      </c>
      <c r="I94" s="544"/>
      <c r="J94" s="294"/>
    </row>
    <row r="95" spans="1:10" ht="15" customHeight="1" x14ac:dyDescent="0.25">
      <c r="A95" s="533">
        <f t="shared" si="4"/>
        <v>81</v>
      </c>
      <c r="B95" s="557" t="s">
        <v>5</v>
      </c>
      <c r="C95" s="278">
        <f t="shared" si="3"/>
        <v>840.14519000000007</v>
      </c>
      <c r="D95" s="692">
        <f>787.667+8.59919</f>
        <v>796.26619000000005</v>
      </c>
      <c r="E95" s="561"/>
      <c r="F95" s="537"/>
      <c r="G95" s="278">
        <v>24</v>
      </c>
      <c r="H95" s="278">
        <v>19.879000000000001</v>
      </c>
      <c r="I95" s="544"/>
      <c r="J95" s="294"/>
    </row>
    <row r="96" spans="1:10" ht="15" customHeight="1" x14ac:dyDescent="0.25">
      <c r="A96" s="533">
        <f t="shared" si="4"/>
        <v>82</v>
      </c>
      <c r="B96" s="557" t="s">
        <v>7</v>
      </c>
      <c r="C96" s="278">
        <f t="shared" si="3"/>
        <v>4.8010000000000002</v>
      </c>
      <c r="D96" s="564">
        <v>4.8010000000000002</v>
      </c>
      <c r="E96" s="559"/>
      <c r="F96" s="561"/>
      <c r="G96" s="561"/>
      <c r="H96" s="278"/>
      <c r="I96" s="544"/>
      <c r="J96" s="294"/>
    </row>
    <row r="97" spans="1:10" ht="15" customHeight="1" x14ac:dyDescent="0.25">
      <c r="A97" s="533">
        <f t="shared" si="4"/>
        <v>83</v>
      </c>
      <c r="B97" s="557" t="s">
        <v>8</v>
      </c>
      <c r="C97" s="278">
        <f t="shared" si="3"/>
        <v>15.069000000000001</v>
      </c>
      <c r="D97" s="564">
        <v>15.069000000000001</v>
      </c>
      <c r="E97" s="559"/>
      <c r="F97" s="561"/>
      <c r="G97" s="561"/>
      <c r="H97" s="278"/>
      <c r="I97" s="544"/>
      <c r="J97" s="294"/>
    </row>
    <row r="98" spans="1:10" ht="15" customHeight="1" x14ac:dyDescent="0.25">
      <c r="A98" s="533">
        <f t="shared" si="4"/>
        <v>84</v>
      </c>
      <c r="B98" s="557" t="s">
        <v>9</v>
      </c>
      <c r="C98" s="278">
        <f t="shared" si="3"/>
        <v>4.2610000000000001</v>
      </c>
      <c r="D98" s="564">
        <v>4.2610000000000001</v>
      </c>
      <c r="E98" s="559"/>
      <c r="F98" s="561"/>
      <c r="G98" s="559"/>
      <c r="H98" s="303"/>
      <c r="I98" s="544"/>
      <c r="J98" s="294"/>
    </row>
    <row r="99" spans="1:10" ht="15" customHeight="1" x14ac:dyDescent="0.25">
      <c r="A99" s="533">
        <f t="shared" si="4"/>
        <v>85</v>
      </c>
      <c r="B99" s="557" t="s">
        <v>10</v>
      </c>
      <c r="C99" s="278">
        <f t="shared" si="3"/>
        <v>1.7689999999999999</v>
      </c>
      <c r="D99" s="564">
        <v>1.7689999999999999</v>
      </c>
      <c r="E99" s="559"/>
      <c r="F99" s="561"/>
      <c r="G99" s="559"/>
      <c r="H99" s="303"/>
      <c r="I99" s="544"/>
      <c r="J99" s="294"/>
    </row>
    <row r="100" spans="1:10" ht="15" customHeight="1" thickBot="1" x14ac:dyDescent="0.3">
      <c r="A100" s="584">
        <f t="shared" si="4"/>
        <v>86</v>
      </c>
      <c r="B100" s="585" t="s">
        <v>11</v>
      </c>
      <c r="C100" s="586">
        <f t="shared" si="3"/>
        <v>2.7370000000000001</v>
      </c>
      <c r="D100" s="558">
        <v>2.7370000000000001</v>
      </c>
      <c r="E100" s="602"/>
      <c r="F100" s="588"/>
      <c r="G100" s="563"/>
      <c r="H100" s="304"/>
      <c r="I100" s="581"/>
      <c r="J100" s="603"/>
    </row>
    <row r="101" spans="1:10" ht="30" customHeight="1" thickBot="1" x14ac:dyDescent="0.3">
      <c r="A101" s="525">
        <f t="shared" si="4"/>
        <v>87</v>
      </c>
      <c r="B101" s="590" t="s">
        <v>553</v>
      </c>
      <c r="C101" s="530">
        <f t="shared" si="3"/>
        <v>4919.0009999999993</v>
      </c>
      <c r="D101" s="591">
        <f>D102+D109+D120+D121+SUM(D123:D135)</f>
        <v>3847.8760000000002</v>
      </c>
      <c r="E101" s="528">
        <f>E123+E135+E118+E125</f>
        <v>292.69499999999999</v>
      </c>
      <c r="F101" s="604"/>
      <c r="G101" s="528">
        <f>G102+SUM(G120:G135)-G122</f>
        <v>401.9</v>
      </c>
      <c r="H101" s="528">
        <f>H102+H109+SUM(H120:H135)-H122</f>
        <v>376.53000000000003</v>
      </c>
      <c r="I101" s="605"/>
      <c r="J101" s="532"/>
    </row>
    <row r="102" spans="1:10" ht="15" customHeight="1" x14ac:dyDescent="0.25">
      <c r="A102" s="533">
        <f t="shared" si="4"/>
        <v>88</v>
      </c>
      <c r="B102" s="606" t="s">
        <v>241</v>
      </c>
      <c r="C102" s="535">
        <f t="shared" si="3"/>
        <v>154.5</v>
      </c>
      <c r="D102" s="547">
        <f>SUM(D103:D108)</f>
        <v>154.5</v>
      </c>
      <c r="E102" s="607"/>
      <c r="F102" s="607"/>
      <c r="G102" s="607"/>
      <c r="H102" s="608"/>
      <c r="I102" s="539"/>
      <c r="J102" s="540"/>
    </row>
    <row r="103" spans="1:10" ht="15" customHeight="1" x14ac:dyDescent="0.25">
      <c r="A103" s="533">
        <f t="shared" si="4"/>
        <v>89</v>
      </c>
      <c r="B103" s="541" t="s">
        <v>73</v>
      </c>
      <c r="C103" s="542">
        <f t="shared" si="3"/>
        <v>35</v>
      </c>
      <c r="D103" s="555">
        <v>35</v>
      </c>
      <c r="E103" s="567"/>
      <c r="F103" s="567"/>
      <c r="G103" s="567"/>
      <c r="H103" s="542"/>
      <c r="I103" s="544"/>
      <c r="J103" s="294"/>
    </row>
    <row r="104" spans="1:10" ht="15" customHeight="1" x14ac:dyDescent="0.25">
      <c r="A104" s="533">
        <f t="shared" si="4"/>
        <v>90</v>
      </c>
      <c r="B104" s="541" t="s">
        <v>221</v>
      </c>
      <c r="C104" s="542">
        <f t="shared" si="3"/>
        <v>25</v>
      </c>
      <c r="D104" s="555">
        <v>25</v>
      </c>
      <c r="E104" s="567"/>
      <c r="F104" s="567"/>
      <c r="G104" s="567"/>
      <c r="H104" s="542"/>
      <c r="I104" s="544"/>
      <c r="J104" s="294"/>
    </row>
    <row r="105" spans="1:10" ht="15" customHeight="1" x14ac:dyDescent="0.25">
      <c r="A105" s="533">
        <f t="shared" si="4"/>
        <v>91</v>
      </c>
      <c r="B105" s="556" t="s">
        <v>235</v>
      </c>
      <c r="C105" s="542">
        <f t="shared" si="3"/>
        <v>25</v>
      </c>
      <c r="D105" s="555">
        <f>21+4</f>
        <v>25</v>
      </c>
      <c r="E105" s="567"/>
      <c r="F105" s="567"/>
      <c r="G105" s="567"/>
      <c r="H105" s="542"/>
      <c r="I105" s="544"/>
      <c r="J105" s="294"/>
    </row>
    <row r="106" spans="1:10" ht="15" customHeight="1" x14ac:dyDescent="0.25">
      <c r="A106" s="533">
        <f t="shared" si="4"/>
        <v>92</v>
      </c>
      <c r="B106" s="569" t="s">
        <v>209</v>
      </c>
      <c r="C106" s="542">
        <f t="shared" si="3"/>
        <v>24</v>
      </c>
      <c r="D106" s="555">
        <v>24</v>
      </c>
      <c r="E106" s="567"/>
      <c r="F106" s="567"/>
      <c r="G106" s="567"/>
      <c r="H106" s="542"/>
      <c r="I106" s="544"/>
      <c r="J106" s="294"/>
    </row>
    <row r="107" spans="1:10" ht="15" customHeight="1" x14ac:dyDescent="0.25">
      <c r="A107" s="533">
        <f t="shared" si="4"/>
        <v>93</v>
      </c>
      <c r="B107" s="569" t="s">
        <v>206</v>
      </c>
      <c r="C107" s="542">
        <f t="shared" si="3"/>
        <v>12.5</v>
      </c>
      <c r="D107" s="555">
        <v>12.5</v>
      </c>
      <c r="E107" s="567"/>
      <c r="F107" s="567"/>
      <c r="G107" s="567"/>
      <c r="H107" s="542"/>
      <c r="I107" s="544"/>
      <c r="J107" s="294"/>
    </row>
    <row r="108" spans="1:10" ht="15" customHeight="1" x14ac:dyDescent="0.25">
      <c r="A108" s="533">
        <f t="shared" si="4"/>
        <v>94</v>
      </c>
      <c r="B108" s="609" t="s">
        <v>213</v>
      </c>
      <c r="C108" s="542">
        <f t="shared" si="3"/>
        <v>33</v>
      </c>
      <c r="D108" s="555">
        <v>33</v>
      </c>
      <c r="E108" s="567"/>
      <c r="F108" s="567"/>
      <c r="G108" s="567"/>
      <c r="H108" s="542"/>
      <c r="I108" s="544"/>
      <c r="J108" s="294"/>
    </row>
    <row r="109" spans="1:10" ht="15" customHeight="1" x14ac:dyDescent="0.25">
      <c r="A109" s="533">
        <f t="shared" si="4"/>
        <v>95</v>
      </c>
      <c r="B109" s="610" t="s">
        <v>606</v>
      </c>
      <c r="C109" s="278">
        <f t="shared" si="3"/>
        <v>353.19200000000001</v>
      </c>
      <c r="D109" s="560">
        <f>SUM(D110:D117)</f>
        <v>242</v>
      </c>
      <c r="E109" s="607"/>
      <c r="F109" s="607"/>
      <c r="G109" s="607"/>
      <c r="H109" s="278">
        <f>H117</f>
        <v>111.19199999999999</v>
      </c>
      <c r="I109" s="544"/>
      <c r="J109" s="294"/>
    </row>
    <row r="110" spans="1:10" ht="15" customHeight="1" x14ac:dyDescent="0.25">
      <c r="A110" s="533">
        <f t="shared" si="4"/>
        <v>96</v>
      </c>
      <c r="B110" s="569" t="s">
        <v>60</v>
      </c>
      <c r="C110" s="542">
        <f t="shared" si="3"/>
        <v>16</v>
      </c>
      <c r="D110" s="555">
        <v>16</v>
      </c>
      <c r="E110" s="551"/>
      <c r="F110" s="551"/>
      <c r="G110" s="551"/>
      <c r="H110" s="542"/>
      <c r="I110" s="544"/>
      <c r="J110" s="294"/>
    </row>
    <row r="111" spans="1:10" ht="15" customHeight="1" x14ac:dyDescent="0.25">
      <c r="A111" s="533">
        <f t="shared" si="4"/>
        <v>97</v>
      </c>
      <c r="B111" s="569" t="s">
        <v>236</v>
      </c>
      <c r="C111" s="542">
        <f t="shared" si="3"/>
        <v>85</v>
      </c>
      <c r="D111" s="555">
        <v>85</v>
      </c>
      <c r="E111" s="551"/>
      <c r="F111" s="551"/>
      <c r="G111" s="551"/>
      <c r="H111" s="542"/>
      <c r="I111" s="544"/>
      <c r="J111" s="294"/>
    </row>
    <row r="112" spans="1:10" ht="15" customHeight="1" x14ac:dyDescent="0.25">
      <c r="A112" s="533">
        <f t="shared" si="4"/>
        <v>98</v>
      </c>
      <c r="B112" s="569" t="s">
        <v>61</v>
      </c>
      <c r="C112" s="542">
        <f t="shared" si="3"/>
        <v>20</v>
      </c>
      <c r="D112" s="555">
        <v>20</v>
      </c>
      <c r="E112" s="551"/>
      <c r="F112" s="551"/>
      <c r="G112" s="551"/>
      <c r="H112" s="542"/>
      <c r="I112" s="544"/>
      <c r="J112" s="294"/>
    </row>
    <row r="113" spans="1:10" ht="15" customHeight="1" x14ac:dyDescent="0.25">
      <c r="A113" s="533">
        <f t="shared" si="4"/>
        <v>99</v>
      </c>
      <c r="B113" s="569" t="s">
        <v>237</v>
      </c>
      <c r="C113" s="542">
        <f t="shared" si="3"/>
        <v>60</v>
      </c>
      <c r="D113" s="555">
        <f>50+10</f>
        <v>60</v>
      </c>
      <c r="E113" s="551"/>
      <c r="F113" s="551"/>
      <c r="G113" s="551"/>
      <c r="H113" s="542"/>
      <c r="I113" s="544"/>
      <c r="J113" s="294"/>
    </row>
    <row r="114" spans="1:10" ht="27.75" customHeight="1" x14ac:dyDescent="0.25">
      <c r="A114" s="533">
        <f t="shared" si="4"/>
        <v>100</v>
      </c>
      <c r="B114" s="569" t="s">
        <v>240</v>
      </c>
      <c r="C114" s="542">
        <f t="shared" si="3"/>
        <v>20</v>
      </c>
      <c r="D114" s="555">
        <v>20</v>
      </c>
      <c r="E114" s="551"/>
      <c r="F114" s="551"/>
      <c r="G114" s="551"/>
      <c r="H114" s="542"/>
      <c r="I114" s="544"/>
      <c r="J114" s="294"/>
    </row>
    <row r="115" spans="1:10" ht="15" customHeight="1" x14ac:dyDescent="0.25">
      <c r="A115" s="533">
        <f t="shared" si="4"/>
        <v>101</v>
      </c>
      <c r="B115" s="569" t="s">
        <v>238</v>
      </c>
      <c r="C115" s="542">
        <f t="shared" si="3"/>
        <v>30</v>
      </c>
      <c r="D115" s="555">
        <v>30</v>
      </c>
      <c r="E115" s="551"/>
      <c r="F115" s="551"/>
      <c r="G115" s="551"/>
      <c r="H115" s="542"/>
      <c r="I115" s="544"/>
      <c r="J115" s="294"/>
    </row>
    <row r="116" spans="1:10" ht="32.25" customHeight="1" x14ac:dyDescent="0.25">
      <c r="A116" s="533">
        <f t="shared" si="4"/>
        <v>102</v>
      </c>
      <c r="B116" s="569" t="s">
        <v>239</v>
      </c>
      <c r="C116" s="542">
        <f t="shared" si="3"/>
        <v>11</v>
      </c>
      <c r="D116" s="555">
        <v>11</v>
      </c>
      <c r="E116" s="551"/>
      <c r="F116" s="551"/>
      <c r="G116" s="551"/>
      <c r="H116" s="542"/>
      <c r="I116" s="544"/>
      <c r="J116" s="294"/>
    </row>
    <row r="117" spans="1:10" ht="15" customHeight="1" x14ac:dyDescent="0.25">
      <c r="A117" s="533">
        <v>103</v>
      </c>
      <c r="B117" s="595" t="s">
        <v>550</v>
      </c>
      <c r="C117" s="611">
        <f t="shared" si="3"/>
        <v>111.19199999999999</v>
      </c>
      <c r="D117" s="620"/>
      <c r="E117" s="551"/>
      <c r="F117" s="551"/>
      <c r="G117" s="551"/>
      <c r="H117" s="611">
        <v>111.19199999999999</v>
      </c>
      <c r="I117" s="612"/>
      <c r="J117" s="613"/>
    </row>
    <row r="118" spans="1:10" ht="15" customHeight="1" x14ac:dyDescent="0.25">
      <c r="A118" s="614">
        <v>104</v>
      </c>
      <c r="B118" s="615" t="s">
        <v>605</v>
      </c>
      <c r="C118" s="616">
        <f t="shared" si="3"/>
        <v>18.571000000000002</v>
      </c>
      <c r="D118" s="617"/>
      <c r="E118" s="561">
        <f>E119</f>
        <v>18.571000000000002</v>
      </c>
      <c r="F118" s="551"/>
      <c r="G118" s="551"/>
      <c r="H118" s="611"/>
      <c r="I118" s="612"/>
      <c r="J118" s="613"/>
    </row>
    <row r="119" spans="1:10" ht="15" customHeight="1" x14ac:dyDescent="0.25">
      <c r="A119" s="614">
        <v>105</v>
      </c>
      <c r="B119" s="618" t="s">
        <v>604</v>
      </c>
      <c r="C119" s="619">
        <f t="shared" si="3"/>
        <v>18.571000000000002</v>
      </c>
      <c r="D119" s="620"/>
      <c r="E119" s="621">
        <v>18.571000000000002</v>
      </c>
      <c r="F119" s="551"/>
      <c r="G119" s="551"/>
      <c r="H119" s="611"/>
      <c r="I119" s="612"/>
      <c r="J119" s="613"/>
    </row>
    <row r="120" spans="1:10" ht="15" customHeight="1" x14ac:dyDescent="0.25">
      <c r="A120" s="533">
        <v>106</v>
      </c>
      <c r="B120" s="545" t="s">
        <v>3</v>
      </c>
      <c r="C120" s="546">
        <f t="shared" si="3"/>
        <v>849.92475999999999</v>
      </c>
      <c r="D120" s="692">
        <f>719.312+47.42376</f>
        <v>766.73576000000003</v>
      </c>
      <c r="E120" s="559"/>
      <c r="F120" s="559"/>
      <c r="G120" s="561">
        <f>45.8+25</f>
        <v>70.8</v>
      </c>
      <c r="H120" s="278">
        <v>12.388999999999999</v>
      </c>
      <c r="I120" s="544"/>
      <c r="J120" s="294"/>
    </row>
    <row r="121" spans="1:10" ht="15" customHeight="1" x14ac:dyDescent="0.25">
      <c r="A121" s="533">
        <f t="shared" si="4"/>
        <v>107</v>
      </c>
      <c r="B121" s="557" t="s">
        <v>4</v>
      </c>
      <c r="C121" s="278">
        <f t="shared" si="3"/>
        <v>1078.0339999999999</v>
      </c>
      <c r="D121" s="560">
        <v>970.56899999999996</v>
      </c>
      <c r="E121" s="559"/>
      <c r="F121" s="559"/>
      <c r="G121" s="561">
        <v>74</v>
      </c>
      <c r="H121" s="278">
        <v>33.465000000000003</v>
      </c>
      <c r="I121" s="544"/>
      <c r="J121" s="294"/>
    </row>
    <row r="122" spans="1:10" ht="15" customHeight="1" x14ac:dyDescent="0.25">
      <c r="A122" s="533">
        <f t="shared" si="4"/>
        <v>108</v>
      </c>
      <c r="B122" s="622" t="s">
        <v>613</v>
      </c>
      <c r="C122" s="303">
        <f t="shared" si="3"/>
        <v>151.41900000000001</v>
      </c>
      <c r="D122" s="623">
        <v>116.92400000000001</v>
      </c>
      <c r="E122" s="559"/>
      <c r="F122" s="559"/>
      <c r="G122" s="559">
        <v>18</v>
      </c>
      <c r="H122" s="303">
        <v>16.495000000000001</v>
      </c>
      <c r="I122" s="544"/>
      <c r="J122" s="294"/>
    </row>
    <row r="123" spans="1:10" ht="15" customHeight="1" x14ac:dyDescent="0.25">
      <c r="A123" s="533">
        <f t="shared" si="4"/>
        <v>109</v>
      </c>
      <c r="B123" s="557" t="s">
        <v>254</v>
      </c>
      <c r="C123" s="278">
        <f t="shared" si="3"/>
        <v>1273.585</v>
      </c>
      <c r="D123" s="564">
        <v>1233.17</v>
      </c>
      <c r="E123" s="561">
        <v>35.996000000000002</v>
      </c>
      <c r="F123" s="559"/>
      <c r="G123" s="561">
        <v>4.0999999999999996</v>
      </c>
      <c r="H123" s="278">
        <v>0.31900000000000001</v>
      </c>
      <c r="I123" s="544"/>
      <c r="J123" s="294"/>
    </row>
    <row r="124" spans="1:10" ht="15" customHeight="1" x14ac:dyDescent="0.25">
      <c r="A124" s="533">
        <f t="shared" si="4"/>
        <v>110</v>
      </c>
      <c r="B124" s="557" t="s">
        <v>5</v>
      </c>
      <c r="C124" s="278">
        <f t="shared" si="3"/>
        <v>14</v>
      </c>
      <c r="D124" s="564">
        <v>14</v>
      </c>
      <c r="E124" s="559"/>
      <c r="F124" s="561"/>
      <c r="G124" s="561"/>
      <c r="H124" s="278"/>
      <c r="I124" s="544"/>
      <c r="J124" s="294"/>
    </row>
    <row r="125" spans="1:10" ht="15" customHeight="1" x14ac:dyDescent="0.25">
      <c r="A125" s="533">
        <f t="shared" si="4"/>
        <v>111</v>
      </c>
      <c r="B125" s="598" t="s">
        <v>212</v>
      </c>
      <c r="C125" s="278">
        <f t="shared" si="3"/>
        <v>769.28099999999995</v>
      </c>
      <c r="D125" s="564">
        <f>281.153-219.094</f>
        <v>62.059000000000026</v>
      </c>
      <c r="E125" s="559">
        <v>238.12799999999999</v>
      </c>
      <c r="F125" s="559"/>
      <c r="G125" s="561">
        <v>250</v>
      </c>
      <c r="H125" s="278">
        <v>219.09399999999999</v>
      </c>
      <c r="I125" s="544"/>
      <c r="J125" s="294"/>
    </row>
    <row r="126" spans="1:10" ht="15" customHeight="1" x14ac:dyDescent="0.25">
      <c r="A126" s="533">
        <f t="shared" si="4"/>
        <v>112</v>
      </c>
      <c r="B126" s="580" t="s">
        <v>230</v>
      </c>
      <c r="C126" s="835">
        <f t="shared" si="3"/>
        <v>51.078239999999994</v>
      </c>
      <c r="D126" s="693">
        <f>98.502-47.42376</f>
        <v>51.078239999999994</v>
      </c>
      <c r="E126" s="559"/>
      <c r="F126" s="559"/>
      <c r="G126" s="561"/>
      <c r="H126" s="278"/>
      <c r="I126" s="544"/>
      <c r="J126" s="294"/>
    </row>
    <row r="127" spans="1:10" ht="15" customHeight="1" x14ac:dyDescent="0.25">
      <c r="A127" s="533">
        <f t="shared" si="4"/>
        <v>113</v>
      </c>
      <c r="B127" s="557" t="s">
        <v>7</v>
      </c>
      <c r="C127" s="278">
        <f t="shared" si="3"/>
        <v>27.573</v>
      </c>
      <c r="D127" s="564">
        <v>27.573</v>
      </c>
      <c r="E127" s="559"/>
      <c r="F127" s="559"/>
      <c r="G127" s="561"/>
      <c r="H127" s="278"/>
      <c r="I127" s="544"/>
      <c r="J127" s="303"/>
    </row>
    <row r="128" spans="1:10" ht="15" customHeight="1" x14ac:dyDescent="0.25">
      <c r="A128" s="533">
        <f t="shared" si="4"/>
        <v>114</v>
      </c>
      <c r="B128" s="557" t="s">
        <v>8</v>
      </c>
      <c r="C128" s="278">
        <f t="shared" si="3"/>
        <v>21.08</v>
      </c>
      <c r="D128" s="564">
        <v>21.08</v>
      </c>
      <c r="E128" s="559"/>
      <c r="F128" s="559"/>
      <c r="G128" s="561"/>
      <c r="H128" s="278"/>
      <c r="I128" s="544"/>
      <c r="J128" s="294"/>
    </row>
    <row r="129" spans="1:10" ht="15" customHeight="1" x14ac:dyDescent="0.25">
      <c r="A129" s="533">
        <f t="shared" si="4"/>
        <v>115</v>
      </c>
      <c r="B129" s="557" t="s">
        <v>9</v>
      </c>
      <c r="C129" s="278">
        <f t="shared" si="3"/>
        <v>29.239000000000001</v>
      </c>
      <c r="D129" s="564">
        <v>29.239000000000001</v>
      </c>
      <c r="E129" s="559"/>
      <c r="F129" s="559"/>
      <c r="G129" s="561"/>
      <c r="H129" s="278"/>
      <c r="I129" s="544"/>
      <c r="J129" s="294"/>
    </row>
    <row r="130" spans="1:10" ht="15" customHeight="1" x14ac:dyDescent="0.25">
      <c r="A130" s="533">
        <f t="shared" si="4"/>
        <v>116</v>
      </c>
      <c r="B130" s="557" t="s">
        <v>10</v>
      </c>
      <c r="C130" s="278">
        <f t="shared" si="3"/>
        <v>1.33</v>
      </c>
      <c r="D130" s="564">
        <v>1.33</v>
      </c>
      <c r="E130" s="559"/>
      <c r="F130" s="559"/>
      <c r="G130" s="561"/>
      <c r="H130" s="278"/>
      <c r="I130" s="544"/>
      <c r="J130" s="294"/>
    </row>
    <row r="131" spans="1:10" ht="15" customHeight="1" x14ac:dyDescent="0.25">
      <c r="A131" s="533">
        <f t="shared" si="4"/>
        <v>117</v>
      </c>
      <c r="B131" s="557" t="s">
        <v>12</v>
      </c>
      <c r="C131" s="278">
        <f t="shared" si="3"/>
        <v>13.792999999999999</v>
      </c>
      <c r="D131" s="564">
        <v>13.792999999999999</v>
      </c>
      <c r="E131" s="559"/>
      <c r="F131" s="559"/>
      <c r="G131" s="561"/>
      <c r="H131" s="278"/>
      <c r="I131" s="544"/>
      <c r="J131" s="294"/>
    </row>
    <row r="132" spans="1:10" ht="15" customHeight="1" x14ac:dyDescent="0.25">
      <c r="A132" s="533">
        <f t="shared" si="4"/>
        <v>118</v>
      </c>
      <c r="B132" s="557" t="s">
        <v>13</v>
      </c>
      <c r="C132" s="278">
        <f t="shared" si="3"/>
        <v>18.727</v>
      </c>
      <c r="D132" s="564">
        <v>18.727</v>
      </c>
      <c r="E132" s="559"/>
      <c r="F132" s="559"/>
      <c r="G132" s="561"/>
      <c r="H132" s="278"/>
      <c r="I132" s="544"/>
      <c r="J132" s="294"/>
    </row>
    <row r="133" spans="1:10" ht="15" customHeight="1" x14ac:dyDescent="0.25">
      <c r="A133" s="533">
        <f t="shared" si="4"/>
        <v>119</v>
      </c>
      <c r="B133" s="557" t="s">
        <v>26</v>
      </c>
      <c r="C133" s="278">
        <f t="shared" si="3"/>
        <v>14.69</v>
      </c>
      <c r="D133" s="564">
        <v>14.69</v>
      </c>
      <c r="E133" s="559"/>
      <c r="F133" s="559"/>
      <c r="G133" s="561"/>
      <c r="H133" s="278"/>
      <c r="I133" s="544"/>
      <c r="J133" s="294"/>
    </row>
    <row r="134" spans="1:10" ht="15" customHeight="1" x14ac:dyDescent="0.25">
      <c r="A134" s="533">
        <f t="shared" si="4"/>
        <v>120</v>
      </c>
      <c r="B134" s="557" t="s">
        <v>94</v>
      </c>
      <c r="C134" s="278">
        <f t="shared" ref="C134:C198" si="5">D134+E134+F134+G134+H134+I134</f>
        <v>112.27</v>
      </c>
      <c r="D134" s="564">
        <v>109.199</v>
      </c>
      <c r="E134" s="559"/>
      <c r="F134" s="559"/>
      <c r="G134" s="561">
        <v>3</v>
      </c>
      <c r="H134" s="278">
        <v>7.0999999999999994E-2</v>
      </c>
      <c r="I134" s="544"/>
      <c r="J134" s="294"/>
    </row>
    <row r="135" spans="1:10" ht="15" customHeight="1" thickBot="1" x14ac:dyDescent="0.3">
      <c r="A135" s="584">
        <f t="shared" si="4"/>
        <v>121</v>
      </c>
      <c r="B135" s="585" t="s">
        <v>138</v>
      </c>
      <c r="C135" s="586">
        <f t="shared" si="5"/>
        <v>118.133</v>
      </c>
      <c r="D135" s="558">
        <v>118.133</v>
      </c>
      <c r="E135" s="587"/>
      <c r="F135" s="563"/>
      <c r="G135" s="588"/>
      <c r="H135" s="624"/>
      <c r="I135" s="581"/>
      <c r="J135" s="589"/>
    </row>
    <row r="136" spans="1:10" ht="33" customHeight="1" thickBot="1" x14ac:dyDescent="0.3">
      <c r="A136" s="525">
        <f t="shared" si="4"/>
        <v>122</v>
      </c>
      <c r="B136" s="625" t="s">
        <v>160</v>
      </c>
      <c r="C136" s="626">
        <f>D136+E136+F136+G136+H136+I136+J136</f>
        <v>11811.49834</v>
      </c>
      <c r="D136" s="591">
        <f>D137+SUM(D166:D178)+D179+D183+D164</f>
        <v>7377.3089999999993</v>
      </c>
      <c r="E136" s="529">
        <f>E137+SUM(E166:E178)+E179+E183+E162</f>
        <v>3896.21234</v>
      </c>
      <c r="F136" s="528"/>
      <c r="G136" s="528">
        <f>G137+SUM(G166:G178)+G179+G183</f>
        <v>433.45299999999997</v>
      </c>
      <c r="H136" s="528">
        <f>H137+SUM(H166:H178)+H179+H183</f>
        <v>79.966999999999985</v>
      </c>
      <c r="I136" s="592">
        <f>I137+SUM(I166:I178)+I179+I183+I164</f>
        <v>24.556999999999999</v>
      </c>
      <c r="J136" s="532"/>
    </row>
    <row r="137" spans="1:10" ht="15" customHeight="1" x14ac:dyDescent="0.25">
      <c r="A137" s="533">
        <f t="shared" si="4"/>
        <v>123</v>
      </c>
      <c r="B137" s="627" t="s">
        <v>244</v>
      </c>
      <c r="C137" s="628">
        <f t="shared" si="5"/>
        <v>6920.9283400000004</v>
      </c>
      <c r="D137" s="629">
        <f>SUM(D138:D159)</f>
        <v>4541.8239999999996</v>
      </c>
      <c r="E137" s="630">
        <f>SUM(E138:E161)</f>
        <v>2379.1043400000003</v>
      </c>
      <c r="F137" s="630"/>
      <c r="G137" s="630"/>
      <c r="H137" s="630"/>
      <c r="I137" s="582"/>
      <c r="J137" s="631"/>
    </row>
    <row r="138" spans="1:10" ht="15" customHeight="1" x14ac:dyDescent="0.25">
      <c r="A138" s="533">
        <f t="shared" si="4"/>
        <v>124</v>
      </c>
      <c r="B138" s="632" t="s">
        <v>54</v>
      </c>
      <c r="C138" s="542">
        <f t="shared" si="5"/>
        <v>2000</v>
      </c>
      <c r="D138" s="555">
        <v>2000</v>
      </c>
      <c r="E138" s="542"/>
      <c r="F138" s="567"/>
      <c r="G138" s="567"/>
      <c r="H138" s="542"/>
      <c r="I138" s="552"/>
      <c r="J138" s="568"/>
    </row>
    <row r="139" spans="1:10" ht="15" customHeight="1" x14ac:dyDescent="0.25">
      <c r="A139" s="533">
        <f t="shared" si="4"/>
        <v>125</v>
      </c>
      <c r="B139" s="633" t="s">
        <v>55</v>
      </c>
      <c r="C139" s="542">
        <f t="shared" si="5"/>
        <v>70</v>
      </c>
      <c r="D139" s="555">
        <v>70</v>
      </c>
      <c r="E139" s="567"/>
      <c r="F139" s="551"/>
      <c r="G139" s="551"/>
      <c r="H139" s="542"/>
      <c r="I139" s="552"/>
      <c r="J139" s="568"/>
    </row>
    <row r="140" spans="1:10" ht="15" customHeight="1" x14ac:dyDescent="0.25">
      <c r="A140" s="533">
        <f t="shared" si="4"/>
        <v>126</v>
      </c>
      <c r="B140" s="634" t="s">
        <v>607</v>
      </c>
      <c r="C140" s="542">
        <f t="shared" si="5"/>
        <v>16.014669999999999</v>
      </c>
      <c r="D140" s="566">
        <v>10</v>
      </c>
      <c r="E140" s="635">
        <v>6.0146699999999997</v>
      </c>
      <c r="F140" s="551"/>
      <c r="G140" s="551"/>
      <c r="H140" s="542"/>
      <c r="I140" s="552"/>
      <c r="J140" s="568"/>
    </row>
    <row r="141" spans="1:10" ht="31.5" customHeight="1" x14ac:dyDescent="0.25">
      <c r="A141" s="533">
        <f t="shared" si="4"/>
        <v>127</v>
      </c>
      <c r="B141" s="636" t="s">
        <v>489</v>
      </c>
      <c r="C141" s="542">
        <f t="shared" si="5"/>
        <v>96.608999999999995</v>
      </c>
      <c r="D141" s="566"/>
      <c r="E141" s="694">
        <f>121.119-24.51</f>
        <v>96.608999999999995</v>
      </c>
      <c r="F141" s="551"/>
      <c r="G141" s="551"/>
      <c r="H141" s="542"/>
      <c r="I141" s="552"/>
      <c r="J141" s="550"/>
    </row>
    <row r="142" spans="1:10" ht="15" customHeight="1" x14ac:dyDescent="0.25">
      <c r="A142" s="533">
        <f t="shared" si="4"/>
        <v>128</v>
      </c>
      <c r="B142" s="636" t="s">
        <v>2</v>
      </c>
      <c r="C142" s="542">
        <f t="shared" si="5"/>
        <v>573.79999999999995</v>
      </c>
      <c r="D142" s="566"/>
      <c r="E142" s="551">
        <v>573.79999999999995</v>
      </c>
      <c r="F142" s="551"/>
      <c r="G142" s="551"/>
      <c r="H142" s="542"/>
      <c r="I142" s="552"/>
      <c r="J142" s="568"/>
    </row>
    <row r="143" spans="1:10" ht="26.25" customHeight="1" x14ac:dyDescent="0.25">
      <c r="A143" s="533">
        <f t="shared" si="4"/>
        <v>129</v>
      </c>
      <c r="B143" s="636" t="s">
        <v>557</v>
      </c>
      <c r="C143" s="542">
        <f t="shared" si="5"/>
        <v>5</v>
      </c>
      <c r="D143" s="566">
        <v>5</v>
      </c>
      <c r="E143" s="551"/>
      <c r="F143" s="551"/>
      <c r="G143" s="551"/>
      <c r="H143" s="542"/>
      <c r="I143" s="552"/>
      <c r="J143" s="568"/>
    </row>
    <row r="144" spans="1:10" ht="15" customHeight="1" x14ac:dyDescent="0.25">
      <c r="A144" s="533">
        <f t="shared" si="4"/>
        <v>130</v>
      </c>
      <c r="B144" s="633" t="s">
        <v>57</v>
      </c>
      <c r="C144" s="542">
        <f t="shared" si="5"/>
        <v>1233.4000000000001</v>
      </c>
      <c r="D144" s="566"/>
      <c r="E144" s="542">
        <v>1233.4000000000001</v>
      </c>
      <c r="F144" s="551"/>
      <c r="G144" s="551"/>
      <c r="H144" s="542"/>
      <c r="I144" s="552"/>
      <c r="J144" s="568"/>
    </row>
    <row r="145" spans="1:10" ht="15" customHeight="1" x14ac:dyDescent="0.25">
      <c r="A145" s="533">
        <f t="shared" si="4"/>
        <v>131</v>
      </c>
      <c r="B145" s="633" t="s">
        <v>58</v>
      </c>
      <c r="C145" s="542">
        <f t="shared" si="5"/>
        <v>1175</v>
      </c>
      <c r="D145" s="555">
        <v>1175</v>
      </c>
      <c r="E145" s="542"/>
      <c r="F145" s="551"/>
      <c r="G145" s="551"/>
      <c r="H145" s="542"/>
      <c r="I145" s="552"/>
      <c r="J145" s="568"/>
    </row>
    <row r="146" spans="1:10" ht="27.75" customHeight="1" x14ac:dyDescent="0.25">
      <c r="A146" s="533">
        <f t="shared" si="4"/>
        <v>132</v>
      </c>
      <c r="B146" s="636" t="s">
        <v>231</v>
      </c>
      <c r="C146" s="542">
        <f t="shared" si="5"/>
        <v>100</v>
      </c>
      <c r="D146" s="555">
        <v>100</v>
      </c>
      <c r="E146" s="637"/>
      <c r="F146" s="637"/>
      <c r="G146" s="637"/>
      <c r="H146" s="638"/>
      <c r="I146" s="552"/>
      <c r="J146" s="568"/>
    </row>
    <row r="147" spans="1:10" ht="15" customHeight="1" x14ac:dyDescent="0.25">
      <c r="A147" s="533">
        <f t="shared" si="4"/>
        <v>133</v>
      </c>
      <c r="B147" s="639" t="s">
        <v>488</v>
      </c>
      <c r="C147" s="542">
        <f t="shared" si="5"/>
        <v>200</v>
      </c>
      <c r="D147" s="566">
        <v>200</v>
      </c>
      <c r="E147" s="551"/>
      <c r="F147" s="551"/>
      <c r="G147" s="551"/>
      <c r="H147" s="542"/>
      <c r="I147" s="552"/>
      <c r="J147" s="568"/>
    </row>
    <row r="148" spans="1:10" ht="15" customHeight="1" x14ac:dyDescent="0.25">
      <c r="A148" s="533">
        <f t="shared" ref="A148:A220" si="6">A147+1</f>
        <v>134</v>
      </c>
      <c r="B148" s="618" t="s">
        <v>210</v>
      </c>
      <c r="C148" s="542">
        <f t="shared" si="5"/>
        <v>7</v>
      </c>
      <c r="D148" s="566">
        <v>7</v>
      </c>
      <c r="E148" s="551"/>
      <c r="F148" s="551"/>
      <c r="G148" s="551"/>
      <c r="H148" s="542"/>
      <c r="I148" s="552"/>
      <c r="J148" s="568"/>
    </row>
    <row r="149" spans="1:10" ht="15" customHeight="1" x14ac:dyDescent="0.25">
      <c r="A149" s="533">
        <f t="shared" si="6"/>
        <v>135</v>
      </c>
      <c r="B149" s="636" t="s">
        <v>401</v>
      </c>
      <c r="C149" s="542">
        <f t="shared" si="5"/>
        <v>678.5</v>
      </c>
      <c r="D149" s="555">
        <f>650+28.5</f>
        <v>678.5</v>
      </c>
      <c r="E149" s="640"/>
      <c r="F149" s="551"/>
      <c r="G149" s="551"/>
      <c r="H149" s="542"/>
      <c r="I149" s="552"/>
      <c r="J149" s="568"/>
    </row>
    <row r="150" spans="1:10" ht="15" customHeight="1" x14ac:dyDescent="0.25">
      <c r="A150" s="533">
        <f t="shared" si="6"/>
        <v>136</v>
      </c>
      <c r="B150" s="636" t="s">
        <v>381</v>
      </c>
      <c r="C150" s="542">
        <f t="shared" si="5"/>
        <v>186.8</v>
      </c>
      <c r="D150" s="555"/>
      <c r="E150" s="542">
        <v>186.8</v>
      </c>
      <c r="F150" s="551"/>
      <c r="G150" s="551"/>
      <c r="H150" s="542"/>
      <c r="I150" s="552"/>
      <c r="J150" s="568"/>
    </row>
    <row r="151" spans="1:10" ht="15" customHeight="1" x14ac:dyDescent="0.25">
      <c r="A151" s="533">
        <f t="shared" si="6"/>
        <v>137</v>
      </c>
      <c r="B151" s="636" t="s">
        <v>376</v>
      </c>
      <c r="C151" s="542">
        <f t="shared" si="5"/>
        <v>25.001000000000001</v>
      </c>
      <c r="D151" s="555"/>
      <c r="E151" s="542">
        <v>25.001000000000001</v>
      </c>
      <c r="F151" s="594"/>
      <c r="G151" s="594"/>
      <c r="H151" s="542"/>
      <c r="I151" s="552"/>
      <c r="J151" s="568"/>
    </row>
    <row r="152" spans="1:10" ht="15" customHeight="1" x14ac:dyDescent="0.25">
      <c r="A152" s="533">
        <f t="shared" si="6"/>
        <v>138</v>
      </c>
      <c r="B152" s="641" t="s">
        <v>258</v>
      </c>
      <c r="C152" s="542">
        <f t="shared" si="5"/>
        <v>100</v>
      </c>
      <c r="D152" s="629">
        <v>100</v>
      </c>
      <c r="E152" s="630"/>
      <c r="F152" s="567"/>
      <c r="G152" s="567"/>
      <c r="H152" s="542"/>
      <c r="I152" s="552"/>
      <c r="J152" s="568"/>
    </row>
    <row r="153" spans="1:10" ht="15" customHeight="1" x14ac:dyDescent="0.25">
      <c r="A153" s="533">
        <f t="shared" si="6"/>
        <v>139</v>
      </c>
      <c r="B153" s="636" t="s">
        <v>370</v>
      </c>
      <c r="C153" s="542">
        <f t="shared" si="5"/>
        <v>20</v>
      </c>
      <c r="D153" s="555">
        <f>10+10</f>
        <v>20</v>
      </c>
      <c r="E153" s="542"/>
      <c r="F153" s="551"/>
      <c r="G153" s="551"/>
      <c r="H153" s="542"/>
      <c r="I153" s="552"/>
      <c r="J153" s="568"/>
    </row>
    <row r="154" spans="1:10" ht="15" customHeight="1" x14ac:dyDescent="0.25">
      <c r="A154" s="533">
        <f t="shared" si="6"/>
        <v>140</v>
      </c>
      <c r="B154" s="636" t="s">
        <v>371</v>
      </c>
      <c r="C154" s="542">
        <f t="shared" si="5"/>
        <v>14</v>
      </c>
      <c r="D154" s="555">
        <v>14</v>
      </c>
      <c r="E154" s="542"/>
      <c r="F154" s="551"/>
      <c r="G154" s="551"/>
      <c r="H154" s="542"/>
      <c r="I154" s="552"/>
      <c r="J154" s="568"/>
    </row>
    <row r="155" spans="1:10" ht="15" customHeight="1" x14ac:dyDescent="0.25">
      <c r="A155" s="533">
        <f t="shared" si="6"/>
        <v>141</v>
      </c>
      <c r="B155" s="636" t="s">
        <v>382</v>
      </c>
      <c r="C155" s="542">
        <f t="shared" si="5"/>
        <v>23</v>
      </c>
      <c r="D155" s="555">
        <v>23</v>
      </c>
      <c r="E155" s="642"/>
      <c r="F155" s="551"/>
      <c r="G155" s="551"/>
      <c r="H155" s="542"/>
      <c r="I155" s="552"/>
      <c r="J155" s="568"/>
    </row>
    <row r="156" spans="1:10" ht="15" customHeight="1" x14ac:dyDescent="0.25">
      <c r="A156" s="533">
        <f t="shared" si="6"/>
        <v>142</v>
      </c>
      <c r="B156" s="636" t="s">
        <v>500</v>
      </c>
      <c r="C156" s="542">
        <f t="shared" si="5"/>
        <v>100</v>
      </c>
      <c r="D156" s="555">
        <v>100</v>
      </c>
      <c r="E156" s="542"/>
      <c r="F156" s="551"/>
      <c r="G156" s="551"/>
      <c r="H156" s="542"/>
      <c r="I156" s="552"/>
      <c r="J156" s="568"/>
    </row>
    <row r="157" spans="1:10" ht="28.5" customHeight="1" x14ac:dyDescent="0.25">
      <c r="A157" s="533">
        <f t="shared" si="6"/>
        <v>143</v>
      </c>
      <c r="B157" s="636" t="s">
        <v>380</v>
      </c>
      <c r="C157" s="542">
        <f t="shared" si="5"/>
        <v>72.528999999999996</v>
      </c>
      <c r="D157" s="555"/>
      <c r="E157" s="542">
        <v>72.528999999999996</v>
      </c>
      <c r="F157" s="643"/>
      <c r="G157" s="643"/>
      <c r="H157" s="542"/>
      <c r="I157" s="552"/>
      <c r="J157" s="568"/>
    </row>
    <row r="158" spans="1:10" ht="42.75" customHeight="1" x14ac:dyDescent="0.25">
      <c r="A158" s="644">
        <f t="shared" si="6"/>
        <v>144</v>
      </c>
      <c r="B158" s="645" t="s">
        <v>505</v>
      </c>
      <c r="C158" s="542">
        <f t="shared" si="5"/>
        <v>5.1916700000000002</v>
      </c>
      <c r="D158" s="555"/>
      <c r="E158" s="542">
        <v>5.1916700000000002</v>
      </c>
      <c r="F158" s="551"/>
      <c r="G158" s="551"/>
      <c r="H158" s="542"/>
      <c r="I158" s="552"/>
      <c r="J158" s="568"/>
    </row>
    <row r="159" spans="1:10" ht="16.5" customHeight="1" x14ac:dyDescent="0.25">
      <c r="A159" s="533">
        <v>145</v>
      </c>
      <c r="B159" s="646" t="s">
        <v>550</v>
      </c>
      <c r="C159" s="542">
        <f t="shared" si="5"/>
        <v>39.323999999999998</v>
      </c>
      <c r="D159" s="620">
        <v>39.323999999999998</v>
      </c>
      <c r="E159" s="611"/>
      <c r="F159" s="551"/>
      <c r="G159" s="551"/>
      <c r="H159" s="611"/>
      <c r="I159" s="239"/>
      <c r="J159" s="647"/>
    </row>
    <row r="160" spans="1:10" ht="115.5" customHeight="1" x14ac:dyDescent="0.25">
      <c r="A160" s="614">
        <v>146</v>
      </c>
      <c r="B160" s="703" t="s">
        <v>668</v>
      </c>
      <c r="C160" s="542">
        <f t="shared" si="5"/>
        <v>16.759</v>
      </c>
      <c r="D160" s="620"/>
      <c r="E160" s="649">
        <v>16.759</v>
      </c>
      <c r="F160" s="648"/>
      <c r="G160" s="648"/>
      <c r="H160" s="611"/>
      <c r="I160" s="649"/>
      <c r="J160" s="647"/>
    </row>
    <row r="161" spans="1:11" ht="43.5" customHeight="1" x14ac:dyDescent="0.25">
      <c r="A161" s="702">
        <v>147</v>
      </c>
      <c r="B161" s="704" t="s">
        <v>671</v>
      </c>
      <c r="C161" s="542">
        <f t="shared" si="5"/>
        <v>163</v>
      </c>
      <c r="D161" s="620"/>
      <c r="E161" s="649">
        <v>163</v>
      </c>
      <c r="F161" s="648"/>
      <c r="G161" s="648"/>
      <c r="H161" s="611"/>
      <c r="I161" s="649"/>
      <c r="J161" s="647"/>
    </row>
    <row r="162" spans="1:11" ht="16.5" customHeight="1" x14ac:dyDescent="0.25">
      <c r="A162" s="533">
        <v>148</v>
      </c>
      <c r="B162" s="650" t="s">
        <v>101</v>
      </c>
      <c r="C162" s="278">
        <f t="shared" si="5"/>
        <v>139.19999999999999</v>
      </c>
      <c r="D162" s="695"/>
      <c r="E162" s="616">
        <f>E163</f>
        <v>139.19999999999999</v>
      </c>
      <c r="F162" s="559"/>
      <c r="G162" s="559"/>
      <c r="H162" s="651"/>
      <c r="I162" s="612"/>
      <c r="J162" s="613"/>
    </row>
    <row r="163" spans="1:11" ht="15" customHeight="1" x14ac:dyDescent="0.25">
      <c r="A163" s="533">
        <f t="shared" si="6"/>
        <v>149</v>
      </c>
      <c r="B163" s="646" t="s">
        <v>52</v>
      </c>
      <c r="C163" s="542">
        <f t="shared" si="5"/>
        <v>139.19999999999999</v>
      </c>
      <c r="D163" s="620"/>
      <c r="E163" s="611">
        <v>139.19999999999999</v>
      </c>
      <c r="F163" s="559"/>
      <c r="G163" s="559"/>
      <c r="H163" s="651"/>
      <c r="I163" s="612"/>
      <c r="J163" s="613"/>
    </row>
    <row r="164" spans="1:11" ht="15" customHeight="1" x14ac:dyDescent="0.25">
      <c r="A164" s="533">
        <f t="shared" si="6"/>
        <v>150</v>
      </c>
      <c r="B164" s="652" t="s">
        <v>219</v>
      </c>
      <c r="C164" s="278">
        <f t="shared" si="5"/>
        <v>24.556999999999999</v>
      </c>
      <c r="D164" s="653"/>
      <c r="E164" s="303"/>
      <c r="F164" s="559"/>
      <c r="G164" s="559"/>
      <c r="H164" s="303"/>
      <c r="I164" s="549">
        <f>I165</f>
        <v>24.556999999999999</v>
      </c>
      <c r="J164" s="294"/>
    </row>
    <row r="165" spans="1:11" ht="15" customHeight="1" x14ac:dyDescent="0.25">
      <c r="A165" s="533">
        <f t="shared" si="6"/>
        <v>151</v>
      </c>
      <c r="B165" s="646" t="s">
        <v>497</v>
      </c>
      <c r="C165" s="542">
        <f t="shared" si="5"/>
        <v>24.556999999999999</v>
      </c>
      <c r="D165" s="555"/>
      <c r="E165" s="542"/>
      <c r="F165" s="551"/>
      <c r="G165" s="551"/>
      <c r="H165" s="542"/>
      <c r="I165" s="552">
        <v>24.556999999999999</v>
      </c>
      <c r="J165" s="294"/>
    </row>
    <row r="166" spans="1:11" ht="15" customHeight="1" x14ac:dyDescent="0.25">
      <c r="A166" s="533">
        <f t="shared" si="6"/>
        <v>152</v>
      </c>
      <c r="B166" s="652" t="s">
        <v>25</v>
      </c>
      <c r="C166" s="546">
        <f t="shared" si="5"/>
        <v>801.84759000000008</v>
      </c>
      <c r="D166" s="692">
        <f>1321.652-433-43.7-310.01157</f>
        <v>534.94042999999999</v>
      </c>
      <c r="E166" s="827">
        <f>81.2+43.7+34.34+2.256-96.28128</f>
        <v>65.214720000000014</v>
      </c>
      <c r="F166" s="561"/>
      <c r="G166" s="828">
        <f>175.133-34.18456</f>
        <v>140.94844000000001</v>
      </c>
      <c r="H166" s="278">
        <v>60.744</v>
      </c>
      <c r="I166" s="544"/>
      <c r="J166" s="294"/>
      <c r="K166" s="174"/>
    </row>
    <row r="167" spans="1:11" ht="15" customHeight="1" x14ac:dyDescent="0.25">
      <c r="A167" s="533">
        <f t="shared" si="6"/>
        <v>153</v>
      </c>
      <c r="B167" s="829" t="s">
        <v>230</v>
      </c>
      <c r="C167" s="546">
        <f>D167+E167+F167+G167+H167+I167</f>
        <v>924.97892000000002</v>
      </c>
      <c r="D167" s="692">
        <f>1263.983-31.3-652.83383</f>
        <v>579.84916999999996</v>
      </c>
      <c r="E167" s="546">
        <f>637.652-316.44496</f>
        <v>321.20704000000006</v>
      </c>
      <c r="F167" s="559"/>
      <c r="G167" s="828">
        <f>48.38-37.94804</f>
        <v>10.431960000000004</v>
      </c>
      <c r="H167" s="546">
        <f>19.223-5.73225</f>
        <v>13.490749999999998</v>
      </c>
      <c r="I167" s="544"/>
      <c r="J167" s="294"/>
    </row>
    <row r="168" spans="1:11" ht="15" customHeight="1" x14ac:dyDescent="0.25">
      <c r="A168" s="702">
        <v>154</v>
      </c>
      <c r="B168" s="830" t="s">
        <v>694</v>
      </c>
      <c r="C168" s="546">
        <f>D168+E168+F168+G168+H168+I168</f>
        <v>1453.43649</v>
      </c>
      <c r="D168" s="831">
        <f>962.8454</f>
        <v>962.84540000000004</v>
      </c>
      <c r="E168" s="832">
        <v>412.72624000000002</v>
      </c>
      <c r="F168" s="833"/>
      <c r="G168" s="834">
        <v>72.132599999999996</v>
      </c>
      <c r="H168" s="832">
        <v>5.7322499999999996</v>
      </c>
      <c r="I168" s="654"/>
      <c r="J168" s="613"/>
      <c r="K168" s="174"/>
    </row>
    <row r="169" spans="1:11" ht="15" customHeight="1" x14ac:dyDescent="0.25">
      <c r="A169" s="533">
        <v>155</v>
      </c>
      <c r="B169" s="655" t="s">
        <v>7</v>
      </c>
      <c r="C169" s="278">
        <f t="shared" si="5"/>
        <v>23.76</v>
      </c>
      <c r="D169" s="560"/>
      <c r="E169" s="278">
        <v>23.76</v>
      </c>
      <c r="F169" s="303"/>
      <c r="G169" s="278"/>
      <c r="H169" s="278"/>
      <c r="I169" s="544"/>
      <c r="J169" s="294"/>
    </row>
    <row r="170" spans="1:11" ht="15" customHeight="1" x14ac:dyDescent="0.25">
      <c r="A170" s="533">
        <f t="shared" si="6"/>
        <v>156</v>
      </c>
      <c r="B170" s="655" t="s">
        <v>8</v>
      </c>
      <c r="C170" s="278">
        <f t="shared" si="5"/>
        <v>14.96</v>
      </c>
      <c r="D170" s="564"/>
      <c r="E170" s="561">
        <v>14.96</v>
      </c>
      <c r="F170" s="559"/>
      <c r="G170" s="559"/>
      <c r="H170" s="303"/>
      <c r="I170" s="544"/>
      <c r="J170" s="294"/>
    </row>
    <row r="171" spans="1:11" ht="15" customHeight="1" x14ac:dyDescent="0.25">
      <c r="A171" s="533">
        <f t="shared" si="6"/>
        <v>157</v>
      </c>
      <c r="B171" s="655" t="s">
        <v>9</v>
      </c>
      <c r="C171" s="278">
        <f t="shared" si="5"/>
        <v>19.8</v>
      </c>
      <c r="D171" s="564"/>
      <c r="E171" s="561">
        <v>19.8</v>
      </c>
      <c r="F171" s="559"/>
      <c r="G171" s="559"/>
      <c r="H171" s="303"/>
      <c r="I171" s="544"/>
      <c r="J171" s="294"/>
    </row>
    <row r="172" spans="1:11" ht="15" customHeight="1" x14ac:dyDescent="0.25">
      <c r="A172" s="533">
        <f t="shared" si="6"/>
        <v>158</v>
      </c>
      <c r="B172" s="655" t="s">
        <v>10</v>
      </c>
      <c r="C172" s="278">
        <f t="shared" si="5"/>
        <v>3.96</v>
      </c>
      <c r="D172" s="564"/>
      <c r="E172" s="561">
        <v>3.96</v>
      </c>
      <c r="F172" s="559"/>
      <c r="G172" s="559"/>
      <c r="H172" s="303"/>
      <c r="I172" s="544"/>
      <c r="J172" s="294"/>
    </row>
    <row r="173" spans="1:11" ht="15" customHeight="1" x14ac:dyDescent="0.25">
      <c r="A173" s="533">
        <f t="shared" si="6"/>
        <v>159</v>
      </c>
      <c r="B173" s="655" t="s">
        <v>11</v>
      </c>
      <c r="C173" s="278">
        <f t="shared" si="5"/>
        <v>10.119999999999999</v>
      </c>
      <c r="D173" s="564"/>
      <c r="E173" s="561">
        <v>10.119999999999999</v>
      </c>
      <c r="F173" s="559"/>
      <c r="G173" s="559"/>
      <c r="H173" s="303"/>
      <c r="I173" s="544"/>
      <c r="J173" s="294"/>
    </row>
    <row r="174" spans="1:11" ht="15" customHeight="1" x14ac:dyDescent="0.25">
      <c r="A174" s="533">
        <f t="shared" si="6"/>
        <v>160</v>
      </c>
      <c r="B174" s="655" t="s">
        <v>12</v>
      </c>
      <c r="C174" s="278">
        <f t="shared" si="5"/>
        <v>28.16</v>
      </c>
      <c r="D174" s="564"/>
      <c r="E174" s="561">
        <v>28.16</v>
      </c>
      <c r="F174" s="559"/>
      <c r="G174" s="559"/>
      <c r="H174" s="303"/>
      <c r="I174" s="544"/>
      <c r="J174" s="294"/>
    </row>
    <row r="175" spans="1:11" ht="15" customHeight="1" x14ac:dyDescent="0.25">
      <c r="A175" s="533">
        <f t="shared" si="6"/>
        <v>161</v>
      </c>
      <c r="B175" s="655" t="s">
        <v>13</v>
      </c>
      <c r="C175" s="278">
        <f t="shared" si="5"/>
        <v>23.76</v>
      </c>
      <c r="D175" s="564"/>
      <c r="E175" s="561">
        <v>23.76</v>
      </c>
      <c r="F175" s="559"/>
      <c r="G175" s="559"/>
      <c r="H175" s="303"/>
      <c r="I175" s="544"/>
      <c r="J175" s="294"/>
    </row>
    <row r="176" spans="1:11" ht="15" customHeight="1" x14ac:dyDescent="0.25">
      <c r="A176" s="533">
        <f t="shared" si="6"/>
        <v>162</v>
      </c>
      <c r="B176" s="655" t="s">
        <v>14</v>
      </c>
      <c r="C176" s="278">
        <f t="shared" si="5"/>
        <v>8.8000000000000007</v>
      </c>
      <c r="D176" s="564"/>
      <c r="E176" s="561">
        <v>8.8000000000000007</v>
      </c>
      <c r="F176" s="559"/>
      <c r="G176" s="559"/>
      <c r="H176" s="303"/>
      <c r="I176" s="544"/>
      <c r="J176" s="294"/>
    </row>
    <row r="177" spans="1:10" ht="15" customHeight="1" x14ac:dyDescent="0.25">
      <c r="A177" s="533">
        <f t="shared" si="6"/>
        <v>163</v>
      </c>
      <c r="B177" s="655" t="s">
        <v>26</v>
      </c>
      <c r="C177" s="278">
        <f t="shared" si="5"/>
        <v>35.650000000000006</v>
      </c>
      <c r="D177" s="564">
        <v>1.77</v>
      </c>
      <c r="E177" s="561">
        <v>33.880000000000003</v>
      </c>
      <c r="F177" s="559"/>
      <c r="G177" s="559"/>
      <c r="H177" s="303"/>
      <c r="I177" s="544"/>
      <c r="J177" s="294"/>
    </row>
    <row r="178" spans="1:10" ht="15" customHeight="1" x14ac:dyDescent="0.25">
      <c r="A178" s="533">
        <f t="shared" si="6"/>
        <v>164</v>
      </c>
      <c r="B178" s="655" t="s">
        <v>15</v>
      </c>
      <c r="C178" s="278">
        <f t="shared" si="5"/>
        <v>95.48</v>
      </c>
      <c r="D178" s="564"/>
      <c r="E178" s="561">
        <v>95.48</v>
      </c>
      <c r="F178" s="559"/>
      <c r="G178" s="559"/>
      <c r="H178" s="303"/>
      <c r="I178" s="544"/>
      <c r="J178" s="294"/>
    </row>
    <row r="179" spans="1:10" ht="15" customHeight="1" x14ac:dyDescent="0.25">
      <c r="A179" s="533">
        <f t="shared" si="6"/>
        <v>165</v>
      </c>
      <c r="B179" s="655" t="s">
        <v>216</v>
      </c>
      <c r="C179" s="278">
        <f t="shared" si="5"/>
        <v>730.1</v>
      </c>
      <c r="D179" s="558">
        <f>SUM(D180:D182)</f>
        <v>730.1</v>
      </c>
      <c r="E179" s="559"/>
      <c r="F179" s="559"/>
      <c r="G179" s="559"/>
      <c r="H179" s="303"/>
      <c r="I179" s="544"/>
      <c r="J179" s="294"/>
    </row>
    <row r="180" spans="1:10" ht="26.25" customHeight="1" x14ac:dyDescent="0.25">
      <c r="A180" s="533">
        <f t="shared" si="6"/>
        <v>166</v>
      </c>
      <c r="B180" s="636" t="s">
        <v>372</v>
      </c>
      <c r="C180" s="542">
        <f t="shared" si="5"/>
        <v>700</v>
      </c>
      <c r="D180" s="555">
        <v>700</v>
      </c>
      <c r="E180" s="551"/>
      <c r="F180" s="559"/>
      <c r="G180" s="559"/>
      <c r="H180" s="303"/>
      <c r="I180" s="544"/>
      <c r="J180" s="294"/>
    </row>
    <row r="181" spans="1:10" ht="15" customHeight="1" x14ac:dyDescent="0.25">
      <c r="A181" s="533">
        <f t="shared" si="6"/>
        <v>167</v>
      </c>
      <c r="B181" s="633" t="s">
        <v>64</v>
      </c>
      <c r="C181" s="542">
        <f t="shared" si="5"/>
        <v>0.1</v>
      </c>
      <c r="D181" s="562">
        <v>0.1</v>
      </c>
      <c r="E181" s="551"/>
      <c r="F181" s="559"/>
      <c r="G181" s="559"/>
      <c r="H181" s="303"/>
      <c r="I181" s="544"/>
      <c r="J181" s="294"/>
    </row>
    <row r="182" spans="1:10" ht="15" customHeight="1" x14ac:dyDescent="0.25">
      <c r="A182" s="533">
        <f t="shared" si="6"/>
        <v>168</v>
      </c>
      <c r="B182" s="656" t="s">
        <v>211</v>
      </c>
      <c r="C182" s="542">
        <f t="shared" si="5"/>
        <v>30</v>
      </c>
      <c r="D182" s="566">
        <v>30</v>
      </c>
      <c r="E182" s="640"/>
      <c r="F182" s="559"/>
      <c r="G182" s="563"/>
      <c r="H182" s="303"/>
      <c r="I182" s="544"/>
      <c r="J182" s="294"/>
    </row>
    <row r="183" spans="1:10" ht="15" customHeight="1" thickBot="1" x14ac:dyDescent="0.3">
      <c r="A183" s="584">
        <f t="shared" si="6"/>
        <v>169</v>
      </c>
      <c r="B183" s="657" t="s">
        <v>6</v>
      </c>
      <c r="C183" s="586">
        <f t="shared" si="5"/>
        <v>552</v>
      </c>
      <c r="D183" s="558">
        <f>24.426+1.554</f>
        <v>25.979999999999997</v>
      </c>
      <c r="E183" s="624">
        <v>316.08</v>
      </c>
      <c r="F183" s="588"/>
      <c r="G183" s="624">
        <v>209.94</v>
      </c>
      <c r="H183" s="624"/>
      <c r="I183" s="581"/>
      <c r="J183" s="589"/>
    </row>
    <row r="184" spans="1:10" ht="30" customHeight="1" thickBot="1" x14ac:dyDescent="0.3">
      <c r="A184" s="525">
        <f t="shared" si="6"/>
        <v>170</v>
      </c>
      <c r="B184" s="590" t="s">
        <v>222</v>
      </c>
      <c r="C184" s="530">
        <f>D184+E184+F184+G184+H184+I184+J184</f>
        <v>7032.5960000000005</v>
      </c>
      <c r="D184" s="591">
        <f>D185+D194+SUM(D199:D208)</f>
        <v>1990.0630000000001</v>
      </c>
      <c r="E184" s="591">
        <f>E185+E194+SUM(E199:E208)</f>
        <v>3022.5</v>
      </c>
      <c r="F184" s="604"/>
      <c r="G184" s="528">
        <f>G185+G194+SUM(G199:G208)</f>
        <v>3.5</v>
      </c>
      <c r="H184" s="591">
        <f>H185+H194+SUM(H199:H208)</f>
        <v>1883.0330000000001</v>
      </c>
      <c r="I184" s="592">
        <f>I185+I194+SUM(I199:I208)</f>
        <v>23.5</v>
      </c>
      <c r="J184" s="528">
        <f>J185+J194+SUM(J199:J208)</f>
        <v>110</v>
      </c>
    </row>
    <row r="185" spans="1:10" ht="15" customHeight="1" x14ac:dyDescent="0.2">
      <c r="A185" s="533">
        <f t="shared" si="6"/>
        <v>171</v>
      </c>
      <c r="B185" s="545" t="s">
        <v>219</v>
      </c>
      <c r="C185" s="535">
        <f>D185+E185+F185+G185+H185+I185+J185</f>
        <v>5560.6019999999999</v>
      </c>
      <c r="D185" s="597">
        <f>SUM(D186:D193)</f>
        <v>623</v>
      </c>
      <c r="E185" s="597">
        <f>SUM(E186:E193)</f>
        <v>3022.5</v>
      </c>
      <c r="F185" s="596"/>
      <c r="G185" s="596"/>
      <c r="H185" s="597">
        <f>SUM(H186:H193)</f>
        <v>1781.6020000000001</v>
      </c>
      <c r="I185" s="658">
        <f>SUM(I186:I193)</f>
        <v>23.5</v>
      </c>
      <c r="J185" s="659">
        <f>SUM(J186:J193)</f>
        <v>110</v>
      </c>
    </row>
    <row r="186" spans="1:10" ht="15" customHeight="1" x14ac:dyDescent="0.25">
      <c r="A186" s="533">
        <f t="shared" si="6"/>
        <v>172</v>
      </c>
      <c r="B186" s="660" t="s">
        <v>66</v>
      </c>
      <c r="C186" s="542">
        <f t="shared" si="5"/>
        <v>725</v>
      </c>
      <c r="D186" s="555">
        <v>25</v>
      </c>
      <c r="E186" s="630"/>
      <c r="F186" s="567"/>
      <c r="G186" s="567"/>
      <c r="H186" s="542">
        <v>700</v>
      </c>
      <c r="I186" s="552"/>
      <c r="J186" s="568"/>
    </row>
    <row r="187" spans="1:10" ht="15" customHeight="1" x14ac:dyDescent="0.25">
      <c r="A187" s="533">
        <f t="shared" si="6"/>
        <v>173</v>
      </c>
      <c r="B187" s="569" t="s">
        <v>229</v>
      </c>
      <c r="C187" s="542">
        <f t="shared" si="5"/>
        <v>40</v>
      </c>
      <c r="D187" s="555">
        <v>40</v>
      </c>
      <c r="E187" s="542"/>
      <c r="F187" s="551"/>
      <c r="G187" s="551"/>
      <c r="H187" s="542"/>
      <c r="I187" s="552"/>
      <c r="J187" s="568"/>
    </row>
    <row r="188" spans="1:10" ht="15" customHeight="1" x14ac:dyDescent="0.25">
      <c r="A188" s="533">
        <f t="shared" si="6"/>
        <v>174</v>
      </c>
      <c r="B188" s="569" t="s">
        <v>232</v>
      </c>
      <c r="C188" s="542">
        <f t="shared" si="5"/>
        <v>3</v>
      </c>
      <c r="D188" s="555">
        <v>3</v>
      </c>
      <c r="E188" s="542"/>
      <c r="F188" s="551"/>
      <c r="G188" s="551"/>
      <c r="H188" s="542"/>
      <c r="I188" s="552"/>
      <c r="J188" s="568"/>
    </row>
    <row r="189" spans="1:10" ht="15" customHeight="1" x14ac:dyDescent="0.25">
      <c r="A189" s="533">
        <f t="shared" si="6"/>
        <v>175</v>
      </c>
      <c r="B189" s="541" t="s">
        <v>67</v>
      </c>
      <c r="C189" s="542">
        <f t="shared" si="5"/>
        <v>400</v>
      </c>
      <c r="D189" s="562">
        <v>400</v>
      </c>
      <c r="E189" s="542"/>
      <c r="F189" s="551"/>
      <c r="G189" s="551"/>
      <c r="H189" s="542"/>
      <c r="I189" s="552"/>
      <c r="J189" s="568"/>
    </row>
    <row r="190" spans="1:10" ht="15" customHeight="1" x14ac:dyDescent="0.25">
      <c r="A190" s="533">
        <f t="shared" si="6"/>
        <v>176</v>
      </c>
      <c r="B190" s="661" t="s">
        <v>641</v>
      </c>
      <c r="C190" s="542">
        <f t="shared" si="5"/>
        <v>2624.5</v>
      </c>
      <c r="D190" s="555">
        <f>105+20</f>
        <v>125</v>
      </c>
      <c r="E190" s="542">
        <v>2499.5</v>
      </c>
      <c r="F190" s="551"/>
      <c r="G190" s="551"/>
      <c r="H190" s="542"/>
      <c r="I190" s="552"/>
      <c r="J190" s="568"/>
    </row>
    <row r="191" spans="1:10" ht="17.25" customHeight="1" x14ac:dyDescent="0.25">
      <c r="A191" s="644">
        <f t="shared" si="6"/>
        <v>177</v>
      </c>
      <c r="B191" s="541" t="s">
        <v>208</v>
      </c>
      <c r="C191" s="542">
        <f t="shared" si="5"/>
        <v>30</v>
      </c>
      <c r="D191" s="566">
        <v>30</v>
      </c>
      <c r="E191" s="567"/>
      <c r="F191" s="551"/>
      <c r="G191" s="551"/>
      <c r="H191" s="542"/>
      <c r="I191" s="552"/>
      <c r="J191" s="568"/>
    </row>
    <row r="192" spans="1:10" ht="17.25" customHeight="1" x14ac:dyDescent="0.25">
      <c r="A192" s="662">
        <v>175</v>
      </c>
      <c r="B192" s="663" t="s">
        <v>639</v>
      </c>
      <c r="C192" s="542">
        <f t="shared" si="5"/>
        <v>523</v>
      </c>
      <c r="D192" s="566"/>
      <c r="E192" s="664">
        <v>523</v>
      </c>
      <c r="F192" s="551"/>
      <c r="G192" s="551"/>
      <c r="H192" s="611"/>
      <c r="I192" s="239"/>
      <c r="J192" s="647"/>
    </row>
    <row r="193" spans="1:10" ht="15" customHeight="1" x14ac:dyDescent="0.25">
      <c r="A193" s="533">
        <v>176</v>
      </c>
      <c r="B193" s="595" t="s">
        <v>550</v>
      </c>
      <c r="C193" s="542">
        <f>D193+E193+F193+G193+H193+I193+J193</f>
        <v>1215.1020000000001</v>
      </c>
      <c r="D193" s="566"/>
      <c r="E193" s="567"/>
      <c r="F193" s="551"/>
      <c r="G193" s="551"/>
      <c r="H193" s="542">
        <v>1081.6020000000001</v>
      </c>
      <c r="I193" s="552">
        <v>23.5</v>
      </c>
      <c r="J193" s="568">
        <v>110</v>
      </c>
    </row>
    <row r="194" spans="1:10" ht="15" customHeight="1" x14ac:dyDescent="0.25">
      <c r="A194" s="533">
        <f t="shared" si="6"/>
        <v>177</v>
      </c>
      <c r="B194" s="557" t="s">
        <v>242</v>
      </c>
      <c r="C194" s="278">
        <f>D194+E194+F194+G194+H194+I194</f>
        <v>309.25700000000001</v>
      </c>
      <c r="D194" s="564">
        <f>SUM(D195:D198)</f>
        <v>209.25700000000001</v>
      </c>
      <c r="E194" s="559"/>
      <c r="F194" s="559"/>
      <c r="G194" s="559"/>
      <c r="H194" s="278">
        <v>100</v>
      </c>
      <c r="I194" s="544"/>
      <c r="J194" s="294"/>
    </row>
    <row r="195" spans="1:10" ht="31.5" customHeight="1" x14ac:dyDescent="0.25">
      <c r="A195" s="533">
        <f t="shared" si="6"/>
        <v>178</v>
      </c>
      <c r="B195" s="569" t="s">
        <v>215</v>
      </c>
      <c r="C195" s="542">
        <f t="shared" si="5"/>
        <v>115.5</v>
      </c>
      <c r="D195" s="566">
        <f>124.5-9</f>
        <v>115.5</v>
      </c>
      <c r="E195" s="551"/>
      <c r="F195" s="551"/>
      <c r="G195" s="551"/>
      <c r="H195" s="542"/>
      <c r="I195" s="544"/>
      <c r="J195" s="294"/>
    </row>
    <row r="196" spans="1:10" ht="15" customHeight="1" x14ac:dyDescent="0.25">
      <c r="A196" s="533">
        <f t="shared" si="6"/>
        <v>179</v>
      </c>
      <c r="B196" s="665" t="s">
        <v>555</v>
      </c>
      <c r="C196" s="542">
        <f t="shared" si="5"/>
        <v>109</v>
      </c>
      <c r="D196" s="666">
        <v>9</v>
      </c>
      <c r="E196" s="551"/>
      <c r="F196" s="551"/>
      <c r="G196" s="551"/>
      <c r="H196" s="611">
        <v>100</v>
      </c>
      <c r="I196" s="612"/>
      <c r="J196" s="613"/>
    </row>
    <row r="197" spans="1:10" ht="33.75" customHeight="1" x14ac:dyDescent="0.25">
      <c r="A197" s="533">
        <f t="shared" si="6"/>
        <v>180</v>
      </c>
      <c r="B197" s="556" t="s">
        <v>233</v>
      </c>
      <c r="C197" s="542">
        <f t="shared" si="5"/>
        <v>54.756999999999998</v>
      </c>
      <c r="D197" s="555">
        <v>54.756999999999998</v>
      </c>
      <c r="E197" s="551"/>
      <c r="F197" s="551"/>
      <c r="G197" s="551"/>
      <c r="H197" s="542"/>
      <c r="I197" s="544"/>
      <c r="J197" s="294"/>
    </row>
    <row r="198" spans="1:10" ht="15" customHeight="1" x14ac:dyDescent="0.25">
      <c r="A198" s="533">
        <f t="shared" si="6"/>
        <v>181</v>
      </c>
      <c r="B198" s="556" t="s">
        <v>389</v>
      </c>
      <c r="C198" s="542">
        <f t="shared" si="5"/>
        <v>30</v>
      </c>
      <c r="D198" s="566">
        <v>30</v>
      </c>
      <c r="E198" s="551"/>
      <c r="F198" s="551"/>
      <c r="G198" s="551"/>
      <c r="H198" s="542"/>
      <c r="I198" s="544"/>
      <c r="J198" s="294"/>
    </row>
    <row r="199" spans="1:10" ht="15" customHeight="1" x14ac:dyDescent="0.25">
      <c r="A199" s="533">
        <f t="shared" si="6"/>
        <v>182</v>
      </c>
      <c r="B199" s="557" t="s">
        <v>7</v>
      </c>
      <c r="C199" s="278">
        <f t="shared" ref="C199:C225" si="7">D199+E199+F199+G199+H199+I199</f>
        <v>59.062000000000005</v>
      </c>
      <c r="D199" s="564">
        <f>42.965+15</f>
        <v>57.965000000000003</v>
      </c>
      <c r="E199" s="559"/>
      <c r="F199" s="559"/>
      <c r="G199" s="561">
        <v>0.5</v>
      </c>
      <c r="H199" s="278">
        <v>0.59699999999999998</v>
      </c>
      <c r="I199" s="544"/>
      <c r="J199" s="294"/>
    </row>
    <row r="200" spans="1:10" ht="15" customHeight="1" x14ac:dyDescent="0.25">
      <c r="A200" s="533">
        <f t="shared" si="6"/>
        <v>183</v>
      </c>
      <c r="B200" s="557" t="s">
        <v>8</v>
      </c>
      <c r="C200" s="278">
        <f t="shared" si="7"/>
        <v>14.394</v>
      </c>
      <c r="D200" s="564">
        <v>14.394</v>
      </c>
      <c r="E200" s="559"/>
      <c r="F200" s="559"/>
      <c r="G200" s="561"/>
      <c r="H200" s="278"/>
      <c r="I200" s="544"/>
      <c r="J200" s="294"/>
    </row>
    <row r="201" spans="1:10" ht="15" customHeight="1" x14ac:dyDescent="0.25">
      <c r="A201" s="533">
        <f t="shared" si="6"/>
        <v>184</v>
      </c>
      <c r="B201" s="557" t="s">
        <v>9</v>
      </c>
      <c r="C201" s="278">
        <f t="shared" si="7"/>
        <v>136.71600000000001</v>
      </c>
      <c r="D201" s="564">
        <v>133.71600000000001</v>
      </c>
      <c r="E201" s="559"/>
      <c r="F201" s="559"/>
      <c r="G201" s="561">
        <v>3</v>
      </c>
      <c r="H201" s="278"/>
      <c r="I201" s="544"/>
      <c r="J201" s="294"/>
    </row>
    <row r="202" spans="1:10" ht="15" customHeight="1" x14ac:dyDescent="0.25">
      <c r="A202" s="533">
        <f t="shared" si="6"/>
        <v>185</v>
      </c>
      <c r="B202" s="557" t="s">
        <v>10</v>
      </c>
      <c r="C202" s="278">
        <f t="shared" si="7"/>
        <v>5.0369999999999999</v>
      </c>
      <c r="D202" s="564">
        <v>5.0369999999999999</v>
      </c>
      <c r="E202" s="559"/>
      <c r="F202" s="559"/>
      <c r="G202" s="561"/>
      <c r="H202" s="278"/>
      <c r="I202" s="544"/>
      <c r="J202" s="294"/>
    </row>
    <row r="203" spans="1:10" ht="15" customHeight="1" x14ac:dyDescent="0.25">
      <c r="A203" s="533">
        <f t="shared" si="6"/>
        <v>186</v>
      </c>
      <c r="B203" s="557" t="s">
        <v>11</v>
      </c>
      <c r="C203" s="278">
        <f t="shared" si="7"/>
        <v>45.219000000000001</v>
      </c>
      <c r="D203" s="564">
        <v>45.219000000000001</v>
      </c>
      <c r="E203" s="559"/>
      <c r="F203" s="559"/>
      <c r="G203" s="561"/>
      <c r="H203" s="278"/>
      <c r="I203" s="544"/>
      <c r="J203" s="294"/>
    </row>
    <row r="204" spans="1:10" ht="15" customHeight="1" x14ac:dyDescent="0.25">
      <c r="A204" s="533">
        <f t="shared" si="6"/>
        <v>187</v>
      </c>
      <c r="B204" s="557" t="s">
        <v>12</v>
      </c>
      <c r="C204" s="278">
        <f t="shared" si="7"/>
        <v>56.384</v>
      </c>
      <c r="D204" s="564">
        <v>56.384</v>
      </c>
      <c r="E204" s="559"/>
      <c r="F204" s="559"/>
      <c r="G204" s="561"/>
      <c r="H204" s="278"/>
      <c r="I204" s="544"/>
      <c r="J204" s="294"/>
    </row>
    <row r="205" spans="1:10" ht="15" customHeight="1" x14ac:dyDescent="0.25">
      <c r="A205" s="533">
        <f t="shared" si="6"/>
        <v>188</v>
      </c>
      <c r="B205" s="557" t="s">
        <v>13</v>
      </c>
      <c r="C205" s="278">
        <f t="shared" si="7"/>
        <v>48.470000000000006</v>
      </c>
      <c r="D205" s="564">
        <v>47.636000000000003</v>
      </c>
      <c r="E205" s="559"/>
      <c r="F205" s="559"/>
      <c r="G205" s="561"/>
      <c r="H205" s="278">
        <v>0.83399999999999996</v>
      </c>
      <c r="I205" s="544"/>
      <c r="J205" s="294"/>
    </row>
    <row r="206" spans="1:10" ht="15" customHeight="1" x14ac:dyDescent="0.25">
      <c r="A206" s="533">
        <f t="shared" si="6"/>
        <v>189</v>
      </c>
      <c r="B206" s="557" t="s">
        <v>14</v>
      </c>
      <c r="C206" s="278">
        <f t="shared" si="7"/>
        <v>12.28</v>
      </c>
      <c r="D206" s="564">
        <v>12.28</v>
      </c>
      <c r="E206" s="559"/>
      <c r="F206" s="559"/>
      <c r="G206" s="561"/>
      <c r="H206" s="278"/>
      <c r="I206" s="544"/>
      <c r="J206" s="294"/>
    </row>
    <row r="207" spans="1:10" ht="15" customHeight="1" x14ac:dyDescent="0.25">
      <c r="A207" s="533">
        <f t="shared" si="6"/>
        <v>190</v>
      </c>
      <c r="B207" s="667" t="s">
        <v>26</v>
      </c>
      <c r="C207" s="278">
        <f t="shared" si="7"/>
        <v>42.283999999999999</v>
      </c>
      <c r="D207" s="564">
        <f>36.284+6</f>
        <v>42.283999999999999</v>
      </c>
      <c r="E207" s="559"/>
      <c r="F207" s="559"/>
      <c r="G207" s="561"/>
      <c r="H207" s="278"/>
      <c r="I207" s="544"/>
      <c r="J207" s="294"/>
    </row>
    <row r="208" spans="1:10" ht="15" customHeight="1" thickBot="1" x14ac:dyDescent="0.3">
      <c r="A208" s="533">
        <f t="shared" si="6"/>
        <v>191</v>
      </c>
      <c r="B208" s="668" t="s">
        <v>15</v>
      </c>
      <c r="C208" s="586">
        <f t="shared" si="7"/>
        <v>742.89099999999996</v>
      </c>
      <c r="D208" s="558">
        <f>542.891+200</f>
        <v>742.89099999999996</v>
      </c>
      <c r="E208" s="602"/>
      <c r="F208" s="563"/>
      <c r="G208" s="588"/>
      <c r="H208" s="624"/>
      <c r="I208" s="581"/>
      <c r="J208" s="589"/>
    </row>
    <row r="209" spans="1:10" ht="30" customHeight="1" thickBot="1" x14ac:dyDescent="0.3">
      <c r="A209" s="525">
        <v>192</v>
      </c>
      <c r="B209" s="590" t="s">
        <v>223</v>
      </c>
      <c r="C209" s="530">
        <f t="shared" si="7"/>
        <v>2969.6910000000003</v>
      </c>
      <c r="D209" s="591">
        <f>D210+D212+D217+D221+D223</f>
        <v>1961.45</v>
      </c>
      <c r="E209" s="528">
        <f>E210+E212+E217+E221</f>
        <v>287.2</v>
      </c>
      <c r="F209" s="604"/>
      <c r="G209" s="528"/>
      <c r="H209" s="591">
        <f>H210+H212+H217+H221+H223</f>
        <v>424.25</v>
      </c>
      <c r="I209" s="592">
        <f>I210+I212+I217+I221+I223</f>
        <v>296.791</v>
      </c>
      <c r="J209" s="532"/>
    </row>
    <row r="210" spans="1:10" ht="15" customHeight="1" x14ac:dyDescent="0.25">
      <c r="A210" s="533">
        <f t="shared" si="6"/>
        <v>193</v>
      </c>
      <c r="B210" s="669" t="s">
        <v>24</v>
      </c>
      <c r="C210" s="535">
        <f t="shared" si="7"/>
        <v>80</v>
      </c>
      <c r="D210" s="670">
        <f>D211</f>
        <v>80</v>
      </c>
      <c r="E210" s="659"/>
      <c r="F210" s="671"/>
      <c r="G210" s="659"/>
      <c r="H210" s="596"/>
      <c r="I210" s="672"/>
      <c r="J210" s="540"/>
    </row>
    <row r="211" spans="1:10" ht="15" customHeight="1" x14ac:dyDescent="0.25">
      <c r="A211" s="533">
        <f t="shared" si="6"/>
        <v>194</v>
      </c>
      <c r="B211" s="541" t="s">
        <v>70</v>
      </c>
      <c r="C211" s="542">
        <f t="shared" si="7"/>
        <v>80</v>
      </c>
      <c r="D211" s="562">
        <v>80</v>
      </c>
      <c r="E211" s="537"/>
      <c r="F211" s="673"/>
      <c r="G211" s="607"/>
      <c r="H211" s="303"/>
      <c r="I211" s="544"/>
      <c r="J211" s="294"/>
    </row>
    <row r="212" spans="1:10" ht="15" customHeight="1" x14ac:dyDescent="0.25">
      <c r="A212" s="533">
        <f t="shared" si="6"/>
        <v>195</v>
      </c>
      <c r="B212" s="557" t="s">
        <v>243</v>
      </c>
      <c r="C212" s="278">
        <f t="shared" si="7"/>
        <v>975.97500000000002</v>
      </c>
      <c r="D212" s="564">
        <f>SUM(D213:D216)</f>
        <v>170</v>
      </c>
      <c r="E212" s="561">
        <f>SUM(E213:E215)</f>
        <v>287.2</v>
      </c>
      <c r="F212" s="561"/>
      <c r="G212" s="561"/>
      <c r="H212" s="561">
        <f>H216</f>
        <v>244.65</v>
      </c>
      <c r="I212" s="565">
        <f>SUM(I213:I216)</f>
        <v>274.125</v>
      </c>
      <c r="J212" s="294"/>
    </row>
    <row r="213" spans="1:10" ht="15" customHeight="1" x14ac:dyDescent="0.25">
      <c r="A213" s="533">
        <f t="shared" si="6"/>
        <v>196</v>
      </c>
      <c r="B213" s="541" t="s">
        <v>205</v>
      </c>
      <c r="C213" s="542">
        <f t="shared" si="7"/>
        <v>287.2</v>
      </c>
      <c r="D213" s="566"/>
      <c r="E213" s="542">
        <v>287.2</v>
      </c>
      <c r="F213" s="674"/>
      <c r="G213" s="551"/>
      <c r="H213" s="542"/>
      <c r="I213" s="552"/>
      <c r="J213" s="568"/>
    </row>
    <row r="214" spans="1:10" ht="15" customHeight="1" x14ac:dyDescent="0.25">
      <c r="A214" s="533">
        <f t="shared" si="6"/>
        <v>197</v>
      </c>
      <c r="B214" s="541" t="s">
        <v>204</v>
      </c>
      <c r="C214" s="542">
        <f t="shared" si="7"/>
        <v>120</v>
      </c>
      <c r="D214" s="555">
        <v>120</v>
      </c>
      <c r="E214" s="542"/>
      <c r="F214" s="674"/>
      <c r="G214" s="551"/>
      <c r="H214" s="542"/>
      <c r="I214" s="552"/>
      <c r="J214" s="568"/>
    </row>
    <row r="215" spans="1:10" ht="26.25" customHeight="1" x14ac:dyDescent="0.25">
      <c r="A215" s="533">
        <f t="shared" si="6"/>
        <v>198</v>
      </c>
      <c r="B215" s="569" t="s">
        <v>373</v>
      </c>
      <c r="C215" s="542">
        <f t="shared" si="7"/>
        <v>50</v>
      </c>
      <c r="D215" s="555">
        <v>50</v>
      </c>
      <c r="E215" s="642"/>
      <c r="F215" s="674"/>
      <c r="G215" s="551"/>
      <c r="H215" s="542"/>
      <c r="I215" s="552"/>
      <c r="J215" s="568"/>
    </row>
    <row r="216" spans="1:10" ht="15" customHeight="1" x14ac:dyDescent="0.25">
      <c r="A216" s="533">
        <f t="shared" si="6"/>
        <v>199</v>
      </c>
      <c r="B216" s="595" t="s">
        <v>497</v>
      </c>
      <c r="C216" s="542">
        <f t="shared" si="7"/>
        <v>518.77499999999998</v>
      </c>
      <c r="D216" s="696"/>
      <c r="E216" s="573"/>
      <c r="F216" s="573"/>
      <c r="G216" s="542"/>
      <c r="H216" s="542">
        <v>244.65</v>
      </c>
      <c r="I216" s="573">
        <v>274.125</v>
      </c>
      <c r="J216" s="568"/>
    </row>
    <row r="217" spans="1:10" ht="15" customHeight="1" x14ac:dyDescent="0.25">
      <c r="A217" s="533">
        <f t="shared" si="6"/>
        <v>200</v>
      </c>
      <c r="B217" s="545" t="s">
        <v>242</v>
      </c>
      <c r="C217" s="278">
        <f t="shared" si="7"/>
        <v>1472.6</v>
      </c>
      <c r="D217" s="564">
        <f>SUM(D218:D220)</f>
        <v>1293</v>
      </c>
      <c r="E217" s="561"/>
      <c r="F217" s="675"/>
      <c r="G217" s="559"/>
      <c r="H217" s="564">
        <f>SUM(H218:H220)</f>
        <v>179.6</v>
      </c>
      <c r="I217" s="544"/>
      <c r="J217" s="294"/>
    </row>
    <row r="218" spans="1:10" ht="15" customHeight="1" x14ac:dyDescent="0.25">
      <c r="A218" s="533">
        <f t="shared" si="6"/>
        <v>201</v>
      </c>
      <c r="B218" s="577" t="s">
        <v>202</v>
      </c>
      <c r="C218" s="542">
        <f t="shared" si="7"/>
        <v>10</v>
      </c>
      <c r="D218" s="566">
        <v>10</v>
      </c>
      <c r="E218" s="551"/>
      <c r="F218" s="674"/>
      <c r="G218" s="676"/>
      <c r="H218" s="677"/>
      <c r="I218" s="544"/>
      <c r="J218" s="294"/>
    </row>
    <row r="219" spans="1:10" ht="15" customHeight="1" x14ac:dyDescent="0.25">
      <c r="A219" s="533">
        <f t="shared" si="6"/>
        <v>202</v>
      </c>
      <c r="B219" s="577" t="s">
        <v>224</v>
      </c>
      <c r="C219" s="542">
        <f t="shared" si="7"/>
        <v>1000</v>
      </c>
      <c r="D219" s="579">
        <v>1000</v>
      </c>
      <c r="E219" s="640"/>
      <c r="F219" s="678"/>
      <c r="G219" s="679"/>
      <c r="H219" s="542"/>
      <c r="I219" s="581"/>
      <c r="J219" s="294"/>
    </row>
    <row r="220" spans="1:10" ht="15" customHeight="1" x14ac:dyDescent="0.25">
      <c r="A220" s="533">
        <f t="shared" si="6"/>
        <v>203</v>
      </c>
      <c r="B220" s="541" t="s">
        <v>72</v>
      </c>
      <c r="C220" s="542">
        <f t="shared" si="7"/>
        <v>462.6</v>
      </c>
      <c r="D220" s="579">
        <f>252+31</f>
        <v>283</v>
      </c>
      <c r="E220" s="542"/>
      <c r="F220" s="678"/>
      <c r="G220" s="679"/>
      <c r="H220" s="542">
        <v>179.6</v>
      </c>
      <c r="I220" s="680"/>
      <c r="J220" s="294"/>
    </row>
    <row r="221" spans="1:10" ht="15" customHeight="1" x14ac:dyDescent="0.25">
      <c r="A221" s="533">
        <f t="shared" ref="A221:A226" si="8">A220+1</f>
        <v>204</v>
      </c>
      <c r="B221" s="557" t="s">
        <v>216</v>
      </c>
      <c r="C221" s="278">
        <f t="shared" si="7"/>
        <v>350</v>
      </c>
      <c r="D221" s="558">
        <f>D222</f>
        <v>350</v>
      </c>
      <c r="E221" s="602"/>
      <c r="F221" s="681"/>
      <c r="G221" s="563"/>
      <c r="H221" s="608"/>
      <c r="I221" s="539"/>
      <c r="J221" s="294"/>
    </row>
    <row r="222" spans="1:10" ht="15" customHeight="1" x14ac:dyDescent="0.25">
      <c r="A222" s="533">
        <f t="shared" si="8"/>
        <v>205</v>
      </c>
      <c r="B222" s="578" t="s">
        <v>225</v>
      </c>
      <c r="C222" s="542">
        <f t="shared" si="7"/>
        <v>350</v>
      </c>
      <c r="D222" s="579">
        <v>350</v>
      </c>
      <c r="E222" s="602"/>
      <c r="F222" s="681"/>
      <c r="G222" s="563"/>
      <c r="H222" s="303"/>
      <c r="I222" s="581"/>
      <c r="J222" s="294"/>
    </row>
    <row r="223" spans="1:10" ht="15" customHeight="1" x14ac:dyDescent="0.25">
      <c r="A223" s="533">
        <f t="shared" si="8"/>
        <v>206</v>
      </c>
      <c r="B223" s="580" t="s">
        <v>391</v>
      </c>
      <c r="C223" s="278">
        <f t="shared" si="7"/>
        <v>91.115999999999985</v>
      </c>
      <c r="D223" s="560">
        <f>D225+D224</f>
        <v>68.449999999999989</v>
      </c>
      <c r="E223" s="303"/>
      <c r="F223" s="680"/>
      <c r="G223" s="303"/>
      <c r="H223" s="303"/>
      <c r="I223" s="549">
        <f>I225+I224</f>
        <v>22.666</v>
      </c>
      <c r="J223" s="294"/>
    </row>
    <row r="224" spans="1:10" ht="15" customHeight="1" x14ac:dyDescent="0.25">
      <c r="A224" s="533">
        <f t="shared" si="8"/>
        <v>207</v>
      </c>
      <c r="B224" s="571" t="s">
        <v>498</v>
      </c>
      <c r="C224" s="542">
        <f t="shared" si="7"/>
        <v>64.215999999999994</v>
      </c>
      <c r="D224" s="542">
        <v>41.55</v>
      </c>
      <c r="E224" s="573"/>
      <c r="F224" s="573"/>
      <c r="G224" s="542"/>
      <c r="H224" s="573"/>
      <c r="I224" s="573">
        <v>22.666</v>
      </c>
      <c r="J224" s="294"/>
    </row>
    <row r="225" spans="1:10" ht="15" customHeight="1" thickBot="1" x14ac:dyDescent="0.3">
      <c r="A225" s="584">
        <f t="shared" si="8"/>
        <v>208</v>
      </c>
      <c r="B225" s="682" t="s">
        <v>439</v>
      </c>
      <c r="C225" s="683">
        <f t="shared" si="7"/>
        <v>26.9</v>
      </c>
      <c r="D225" s="684">
        <v>26.9</v>
      </c>
      <c r="E225" s="685"/>
      <c r="F225" s="686"/>
      <c r="G225" s="685"/>
      <c r="H225" s="542"/>
      <c r="I225" s="687"/>
      <c r="J225" s="589"/>
    </row>
    <row r="226" spans="1:10" ht="15" customHeight="1" thickBot="1" x14ac:dyDescent="0.25">
      <c r="A226" s="525">
        <f t="shared" si="8"/>
        <v>209</v>
      </c>
      <c r="B226" s="697" t="s">
        <v>196</v>
      </c>
      <c r="C226" s="698">
        <f>D226+E226+F226+G226+H226+I226+J226</f>
        <v>59986.06375999999</v>
      </c>
      <c r="D226" s="699">
        <f t="shared" ref="D226:J226" si="9">D15+D53+D101+D136+D184+D209</f>
        <v>33466.632999999994</v>
      </c>
      <c r="E226" s="699">
        <f t="shared" si="9"/>
        <v>9952.6897600000011</v>
      </c>
      <c r="F226" s="700">
        <f t="shared" si="9"/>
        <v>10821.4</v>
      </c>
      <c r="G226" s="701">
        <f t="shared" si="9"/>
        <v>1576.8009999999999</v>
      </c>
      <c r="H226" s="701">
        <f t="shared" si="9"/>
        <v>3153.0390000000002</v>
      </c>
      <c r="I226" s="700">
        <f t="shared" si="9"/>
        <v>905.50099999999998</v>
      </c>
      <c r="J226" s="701">
        <f t="shared" si="9"/>
        <v>110</v>
      </c>
    </row>
    <row r="227" spans="1:10" ht="15" customHeight="1" x14ac:dyDescent="0.2">
      <c r="A227" s="178"/>
      <c r="B227" s="176"/>
      <c r="C227" s="178"/>
      <c r="D227" s="178"/>
      <c r="E227" s="178"/>
      <c r="F227" s="178"/>
      <c r="G227" s="178"/>
      <c r="H227" s="178"/>
      <c r="I227" s="178"/>
      <c r="J227" s="178"/>
    </row>
    <row r="228" spans="1:10" ht="15" customHeight="1" x14ac:dyDescent="0.2">
      <c r="A228" s="178"/>
      <c r="B228" s="176"/>
      <c r="C228" s="178"/>
      <c r="D228" s="178"/>
      <c r="E228" s="688"/>
      <c r="F228" s="178"/>
      <c r="G228" s="178"/>
      <c r="H228" s="178"/>
      <c r="I228" s="178"/>
      <c r="J228" s="178"/>
    </row>
    <row r="229" spans="1:10" ht="15" customHeight="1" x14ac:dyDescent="0.2">
      <c r="A229" s="178"/>
      <c r="B229" s="689"/>
      <c r="C229" s="178"/>
      <c r="D229" s="178"/>
      <c r="E229" s="178"/>
      <c r="F229" s="178"/>
      <c r="G229" s="178"/>
      <c r="H229" s="178"/>
      <c r="I229" s="178"/>
      <c r="J229" s="178"/>
    </row>
    <row r="230" spans="1:10" ht="15" customHeight="1" x14ac:dyDescent="0.2">
      <c r="A230" s="178"/>
      <c r="B230" s="176"/>
      <c r="C230" s="178"/>
      <c r="D230" s="178"/>
      <c r="E230" s="178"/>
      <c r="F230" s="178"/>
      <c r="G230" s="178"/>
      <c r="H230" s="178"/>
      <c r="I230" s="178"/>
      <c r="J230" s="178"/>
    </row>
    <row r="231" spans="1:10" ht="15" customHeight="1" x14ac:dyDescent="0.2">
      <c r="A231" s="178"/>
      <c r="B231" s="176"/>
      <c r="C231" s="178"/>
      <c r="D231" s="178"/>
      <c r="E231" s="178"/>
      <c r="F231" s="178"/>
      <c r="G231" s="178"/>
      <c r="H231" s="178"/>
      <c r="I231" s="178"/>
      <c r="J231" s="178"/>
    </row>
    <row r="232" spans="1:10" ht="15" customHeight="1" x14ac:dyDescent="0.2">
      <c r="A232" s="178"/>
      <c r="B232" s="171"/>
    </row>
    <row r="234" spans="1:10" ht="15" customHeight="1" x14ac:dyDescent="0.2">
      <c r="E234" s="174"/>
    </row>
  </sheetData>
  <mergeCells count="14">
    <mergeCell ref="F6:K6"/>
    <mergeCell ref="G7:J7"/>
    <mergeCell ref="F5:K5"/>
    <mergeCell ref="F8:G8"/>
    <mergeCell ref="J13:J14"/>
    <mergeCell ref="F13:F14"/>
    <mergeCell ref="G13:G14"/>
    <mergeCell ref="H13:H14"/>
    <mergeCell ref="I13:I14"/>
    <mergeCell ref="A13:A14"/>
    <mergeCell ref="B13:B14"/>
    <mergeCell ref="C13:C14"/>
    <mergeCell ref="D13:D14"/>
    <mergeCell ref="E13:E14"/>
  </mergeCells>
  <printOptions gridLines="1"/>
  <pageMargins left="0.43307086614173229" right="0" top="0.55118110236220474" bottom="0.15748031496062992" header="0.31496062992125984" footer="0.31496062992125984"/>
  <pageSetup paperSize="9" scale="9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2121D-6CBD-4729-B682-B2D51F581864}">
  <dimension ref="A1:F121"/>
  <sheetViews>
    <sheetView zoomScaleNormal="100" workbookViewId="0">
      <selection activeCell="L10" sqref="L10"/>
    </sheetView>
  </sheetViews>
  <sheetFormatPr defaultColWidth="9.140625" defaultRowHeight="12.75" x14ac:dyDescent="0.2"/>
  <cols>
    <col min="1" max="1" width="5.42578125" style="182" customWidth="1"/>
    <col min="2" max="2" width="63.140625" style="182" customWidth="1"/>
    <col min="3" max="3" width="11.85546875" style="182" customWidth="1"/>
    <col min="4" max="4" width="42.28515625" style="182" customWidth="1"/>
    <col min="5" max="5" width="16.28515625" style="182" customWidth="1"/>
    <col min="6" max="6" width="10.85546875" style="182" customWidth="1"/>
    <col min="7" max="16384" width="9.140625" style="182"/>
  </cols>
  <sheetData>
    <row r="1" spans="1:6" ht="15.75" x14ac:dyDescent="0.25">
      <c r="B1" s="210"/>
      <c r="C1" s="210"/>
      <c r="D1" s="866" t="s">
        <v>542</v>
      </c>
      <c r="E1" s="866"/>
      <c r="F1" s="184"/>
    </row>
    <row r="2" spans="1:6" ht="15.75" x14ac:dyDescent="0.25">
      <c r="B2" s="210"/>
      <c r="C2" s="210"/>
      <c r="D2" s="866" t="s">
        <v>582</v>
      </c>
      <c r="E2" s="867"/>
      <c r="F2" s="185"/>
    </row>
    <row r="3" spans="1:6" ht="15.75" x14ac:dyDescent="0.25">
      <c r="B3" s="210"/>
      <c r="C3" s="210"/>
      <c r="D3" s="866" t="s">
        <v>543</v>
      </c>
      <c r="E3" s="866"/>
      <c r="F3" s="184"/>
    </row>
    <row r="4" spans="1:6" ht="15.75" x14ac:dyDescent="0.25">
      <c r="B4" s="210"/>
      <c r="C4" s="210"/>
      <c r="D4" s="933" t="s">
        <v>610</v>
      </c>
      <c r="E4" s="934"/>
      <c r="F4" s="184"/>
    </row>
    <row r="5" spans="1:6" ht="15.75" x14ac:dyDescent="0.25">
      <c r="B5" s="210"/>
      <c r="C5" s="210"/>
      <c r="D5" s="933" t="s">
        <v>765</v>
      </c>
      <c r="E5" s="934"/>
      <c r="F5" s="184"/>
    </row>
    <row r="6" spans="1:6" ht="15.75" x14ac:dyDescent="0.25">
      <c r="B6" s="210"/>
      <c r="C6" s="210"/>
      <c r="D6" s="866" t="s">
        <v>611</v>
      </c>
      <c r="E6" s="866"/>
      <c r="F6" s="184"/>
    </row>
    <row r="7" spans="1:6" ht="15" x14ac:dyDescent="0.2">
      <c r="B7" s="210"/>
      <c r="C7" s="210"/>
      <c r="D7" s="210"/>
      <c r="E7" s="210"/>
    </row>
    <row r="8" spans="1:6" ht="15.75" x14ac:dyDescent="0.25">
      <c r="A8" s="211" t="s">
        <v>499</v>
      </c>
      <c r="B8" s="210"/>
      <c r="C8" s="210"/>
      <c r="D8" s="210"/>
      <c r="E8" s="210"/>
    </row>
    <row r="9" spans="1:6" ht="15.75" x14ac:dyDescent="0.25">
      <c r="A9" s="210"/>
      <c r="B9" s="210" t="s">
        <v>614</v>
      </c>
      <c r="C9" s="210"/>
      <c r="D9" s="210"/>
      <c r="E9" s="210"/>
    </row>
    <row r="10" spans="1:6" ht="15.75" x14ac:dyDescent="0.25">
      <c r="B10" s="210"/>
      <c r="C10" s="210"/>
      <c r="D10" s="210"/>
      <c r="E10" s="183"/>
    </row>
    <row r="11" spans="1:6" ht="15.75" customHeight="1" x14ac:dyDescent="0.25">
      <c r="A11" s="184"/>
      <c r="B11" s="184"/>
      <c r="C11" s="184"/>
      <c r="D11" s="184"/>
      <c r="E11" s="187" t="s">
        <v>585</v>
      </c>
    </row>
    <row r="12" spans="1:6" x14ac:dyDescent="0.2">
      <c r="A12" s="935" t="s">
        <v>0</v>
      </c>
      <c r="B12" s="936" t="s">
        <v>339</v>
      </c>
      <c r="C12" s="936" t="s">
        <v>340</v>
      </c>
      <c r="D12" s="936" t="s">
        <v>341</v>
      </c>
      <c r="E12" s="936" t="s">
        <v>359</v>
      </c>
    </row>
    <row r="13" spans="1:6" x14ac:dyDescent="0.2">
      <c r="A13" s="935"/>
      <c r="B13" s="936"/>
      <c r="C13" s="936"/>
      <c r="D13" s="936"/>
      <c r="E13" s="936"/>
    </row>
    <row r="14" spans="1:6" ht="28.5" x14ac:dyDescent="0.2">
      <c r="A14" s="705">
        <v>1</v>
      </c>
      <c r="B14" s="706" t="s">
        <v>342</v>
      </c>
      <c r="C14" s="707">
        <v>1</v>
      </c>
      <c r="D14" s="708" t="s">
        <v>24</v>
      </c>
      <c r="E14" s="709">
        <v>0.5</v>
      </c>
    </row>
    <row r="15" spans="1:6" ht="14.25" x14ac:dyDescent="0.2">
      <c r="A15" s="705">
        <f>A14+1</f>
        <v>2</v>
      </c>
      <c r="B15" s="710" t="s">
        <v>311</v>
      </c>
      <c r="C15" s="711">
        <v>1</v>
      </c>
      <c r="D15" s="708" t="s">
        <v>24</v>
      </c>
      <c r="E15" s="709">
        <v>26.7</v>
      </c>
    </row>
    <row r="16" spans="1:6" ht="14.25" x14ac:dyDescent="0.2">
      <c r="A16" s="705">
        <f t="shared" ref="A16:A82" si="0">A15+1</f>
        <v>3</v>
      </c>
      <c r="B16" s="710" t="s">
        <v>343</v>
      </c>
      <c r="C16" s="711">
        <v>1</v>
      </c>
      <c r="D16" s="708" t="s">
        <v>24</v>
      </c>
      <c r="E16" s="709">
        <v>23.9</v>
      </c>
    </row>
    <row r="17" spans="1:5" ht="14.25" x14ac:dyDescent="0.2">
      <c r="A17" s="705">
        <f t="shared" si="0"/>
        <v>4</v>
      </c>
      <c r="B17" s="706" t="s">
        <v>333</v>
      </c>
      <c r="C17" s="707">
        <v>1</v>
      </c>
      <c r="D17" s="708" t="s">
        <v>24</v>
      </c>
      <c r="E17" s="709">
        <v>9</v>
      </c>
    </row>
    <row r="18" spans="1:5" ht="14.25" x14ac:dyDescent="0.2">
      <c r="A18" s="705">
        <f t="shared" si="0"/>
        <v>5</v>
      </c>
      <c r="B18" s="710" t="s">
        <v>329</v>
      </c>
      <c r="C18" s="711">
        <v>1</v>
      </c>
      <c r="D18" s="708" t="s">
        <v>24</v>
      </c>
      <c r="E18" s="709">
        <v>30.2</v>
      </c>
    </row>
    <row r="19" spans="1:5" ht="14.25" x14ac:dyDescent="0.2">
      <c r="A19" s="705">
        <f t="shared" si="0"/>
        <v>6</v>
      </c>
      <c r="B19" s="710" t="s">
        <v>327</v>
      </c>
      <c r="C19" s="711">
        <v>1</v>
      </c>
      <c r="D19" s="708" t="s">
        <v>24</v>
      </c>
      <c r="E19" s="709">
        <v>9.6999999999999993</v>
      </c>
    </row>
    <row r="20" spans="1:5" ht="28.5" x14ac:dyDescent="0.2">
      <c r="A20" s="705">
        <f t="shared" si="0"/>
        <v>7</v>
      </c>
      <c r="B20" s="706" t="s">
        <v>374</v>
      </c>
      <c r="C20" s="711">
        <v>1</v>
      </c>
      <c r="D20" s="708" t="s">
        <v>24</v>
      </c>
      <c r="E20" s="709">
        <v>0.7</v>
      </c>
    </row>
    <row r="21" spans="1:5" ht="14.25" x14ac:dyDescent="0.2">
      <c r="A21" s="705">
        <f t="shared" si="0"/>
        <v>8</v>
      </c>
      <c r="B21" s="710" t="s">
        <v>344</v>
      </c>
      <c r="C21" s="711">
        <v>1</v>
      </c>
      <c r="D21" s="708" t="s">
        <v>24</v>
      </c>
      <c r="E21" s="709">
        <v>20.8</v>
      </c>
    </row>
    <row r="22" spans="1:5" ht="14.25" x14ac:dyDescent="0.2">
      <c r="A22" s="705">
        <f t="shared" si="0"/>
        <v>9</v>
      </c>
      <c r="B22" s="712" t="s">
        <v>260</v>
      </c>
      <c r="C22" s="713">
        <v>1</v>
      </c>
      <c r="D22" s="714" t="s">
        <v>216</v>
      </c>
      <c r="E22" s="715">
        <v>3.6</v>
      </c>
    </row>
    <row r="23" spans="1:5" ht="14.25" x14ac:dyDescent="0.2">
      <c r="A23" s="705">
        <f t="shared" si="0"/>
        <v>10</v>
      </c>
      <c r="B23" s="710" t="s">
        <v>491</v>
      </c>
      <c r="C23" s="711"/>
      <c r="D23" s="708"/>
      <c r="E23" s="760">
        <f>E24+E25+E26+E27</f>
        <v>229.2</v>
      </c>
    </row>
    <row r="24" spans="1:5" ht="15" x14ac:dyDescent="0.25">
      <c r="A24" s="705">
        <f t="shared" si="0"/>
        <v>11</v>
      </c>
      <c r="B24" s="716" t="s">
        <v>539</v>
      </c>
      <c r="C24" s="717">
        <v>4</v>
      </c>
      <c r="D24" s="718" t="s">
        <v>24</v>
      </c>
      <c r="E24" s="719">
        <v>139.19999999999999</v>
      </c>
    </row>
    <row r="25" spans="1:5" ht="15" x14ac:dyDescent="0.25">
      <c r="A25" s="705">
        <f t="shared" si="0"/>
        <v>12</v>
      </c>
      <c r="B25" s="716" t="s">
        <v>540</v>
      </c>
      <c r="C25" s="717">
        <v>1</v>
      </c>
      <c r="D25" s="718" t="s">
        <v>24</v>
      </c>
      <c r="E25" s="719">
        <v>8.8000000000000007</v>
      </c>
    </row>
    <row r="26" spans="1:5" ht="15" x14ac:dyDescent="0.25">
      <c r="A26" s="705">
        <f t="shared" si="0"/>
        <v>13</v>
      </c>
      <c r="B26" s="716" t="s">
        <v>541</v>
      </c>
      <c r="C26" s="717">
        <v>4</v>
      </c>
      <c r="D26" s="720" t="s">
        <v>25</v>
      </c>
      <c r="E26" s="863">
        <f>81.2-62.87471</f>
        <v>18.325290000000003</v>
      </c>
    </row>
    <row r="27" spans="1:5" ht="15" x14ac:dyDescent="0.25">
      <c r="A27" s="795">
        <v>14</v>
      </c>
      <c r="B27" s="798"/>
      <c r="C27" s="799"/>
      <c r="D27" s="864" t="s">
        <v>694</v>
      </c>
      <c r="E27" s="865">
        <v>62.87471</v>
      </c>
    </row>
    <row r="28" spans="1:5" ht="14.25" x14ac:dyDescent="0.2">
      <c r="A28" s="705">
        <v>15</v>
      </c>
      <c r="B28" s="710" t="s">
        <v>345</v>
      </c>
      <c r="C28" s="711">
        <v>1</v>
      </c>
      <c r="D28" s="708" t="s">
        <v>24</v>
      </c>
      <c r="E28" s="709">
        <v>6.5</v>
      </c>
    </row>
    <row r="29" spans="1:5" ht="14.25" x14ac:dyDescent="0.2">
      <c r="A29" s="705">
        <v>16</v>
      </c>
      <c r="B29" s="710" t="s">
        <v>646</v>
      </c>
      <c r="C29" s="711"/>
      <c r="D29" s="708"/>
      <c r="E29" s="709">
        <f>E30+E31+E32</f>
        <v>596.79999999999995</v>
      </c>
    </row>
    <row r="30" spans="1:5" ht="15" x14ac:dyDescent="0.25">
      <c r="A30" s="705">
        <f t="shared" si="0"/>
        <v>17</v>
      </c>
      <c r="B30" s="716" t="s">
        <v>346</v>
      </c>
      <c r="C30" s="717">
        <v>4</v>
      </c>
      <c r="D30" s="718" t="s">
        <v>106</v>
      </c>
      <c r="E30" s="719">
        <v>573.79999999999995</v>
      </c>
    </row>
    <row r="31" spans="1:5" ht="15" x14ac:dyDescent="0.25">
      <c r="A31" s="705">
        <f t="shared" si="0"/>
        <v>18</v>
      </c>
      <c r="B31" s="716" t="s">
        <v>347</v>
      </c>
      <c r="C31" s="717">
        <v>1</v>
      </c>
      <c r="D31" s="718" t="s">
        <v>24</v>
      </c>
      <c r="E31" s="719">
        <v>19</v>
      </c>
    </row>
    <row r="32" spans="1:5" ht="15" x14ac:dyDescent="0.25">
      <c r="A32" s="705">
        <f t="shared" si="0"/>
        <v>19</v>
      </c>
      <c r="B32" s="716" t="s">
        <v>645</v>
      </c>
      <c r="C32" s="717">
        <v>1</v>
      </c>
      <c r="D32" s="718" t="s">
        <v>106</v>
      </c>
      <c r="E32" s="719">
        <v>4</v>
      </c>
    </row>
    <row r="33" spans="1:5" ht="15" x14ac:dyDescent="0.25">
      <c r="A33" s="705">
        <f t="shared" si="0"/>
        <v>20</v>
      </c>
      <c r="B33" s="710" t="s">
        <v>647</v>
      </c>
      <c r="C33" s="711"/>
      <c r="D33" s="718"/>
      <c r="E33" s="709">
        <f>E34+E35+E36</f>
        <v>1750.4</v>
      </c>
    </row>
    <row r="34" spans="1:5" ht="15" x14ac:dyDescent="0.25">
      <c r="A34" s="705">
        <f t="shared" si="0"/>
        <v>21</v>
      </c>
      <c r="B34" s="716" t="s">
        <v>348</v>
      </c>
      <c r="C34" s="717">
        <v>4</v>
      </c>
      <c r="D34" s="718" t="s">
        <v>106</v>
      </c>
      <c r="E34" s="719">
        <v>1233.4000000000001</v>
      </c>
    </row>
    <row r="35" spans="1:5" ht="15" x14ac:dyDescent="0.25">
      <c r="A35" s="705">
        <f t="shared" si="0"/>
        <v>22</v>
      </c>
      <c r="B35" s="716" t="s">
        <v>349</v>
      </c>
      <c r="C35" s="717">
        <v>1</v>
      </c>
      <c r="D35" s="718" t="s">
        <v>24</v>
      </c>
      <c r="E35" s="719">
        <v>37</v>
      </c>
    </row>
    <row r="36" spans="1:5" ht="15" x14ac:dyDescent="0.25">
      <c r="A36" s="705">
        <f t="shared" si="0"/>
        <v>23</v>
      </c>
      <c r="B36" s="716" t="s">
        <v>350</v>
      </c>
      <c r="C36" s="717">
        <v>4</v>
      </c>
      <c r="D36" s="720" t="s">
        <v>228</v>
      </c>
      <c r="E36" s="719">
        <v>480</v>
      </c>
    </row>
    <row r="37" spans="1:5" ht="15" x14ac:dyDescent="0.25">
      <c r="A37" s="705">
        <f t="shared" si="0"/>
        <v>24</v>
      </c>
      <c r="B37" s="710" t="s">
        <v>648</v>
      </c>
      <c r="C37" s="711"/>
      <c r="D37" s="718"/>
      <c r="E37" s="709">
        <f>E38+E39</f>
        <v>273.10000000000002</v>
      </c>
    </row>
    <row r="38" spans="1:5" ht="15" x14ac:dyDescent="0.25">
      <c r="A38" s="705">
        <f t="shared" si="0"/>
        <v>25</v>
      </c>
      <c r="B38" s="716" t="s">
        <v>538</v>
      </c>
      <c r="C38" s="717">
        <v>1</v>
      </c>
      <c r="D38" s="718" t="s">
        <v>351</v>
      </c>
      <c r="E38" s="719">
        <v>10.42</v>
      </c>
    </row>
    <row r="39" spans="1:5" ht="15" x14ac:dyDescent="0.25">
      <c r="A39" s="705">
        <f t="shared" si="0"/>
        <v>26</v>
      </c>
      <c r="B39" s="716" t="s">
        <v>649</v>
      </c>
      <c r="C39" s="717">
        <v>4</v>
      </c>
      <c r="D39" s="718"/>
      <c r="E39" s="715">
        <f>SUM(E40:E49)</f>
        <v>262.68</v>
      </c>
    </row>
    <row r="40" spans="1:5" ht="15" x14ac:dyDescent="0.25">
      <c r="A40" s="705">
        <f t="shared" si="0"/>
        <v>27</v>
      </c>
      <c r="B40" s="716" t="s">
        <v>352</v>
      </c>
      <c r="C40" s="717">
        <v>4</v>
      </c>
      <c r="D40" s="718" t="s">
        <v>558</v>
      </c>
      <c r="E40" s="721">
        <v>23.76</v>
      </c>
    </row>
    <row r="41" spans="1:5" ht="15" x14ac:dyDescent="0.25">
      <c r="A41" s="705">
        <f t="shared" si="0"/>
        <v>28</v>
      </c>
      <c r="B41" s="716"/>
      <c r="C41" s="717">
        <v>4</v>
      </c>
      <c r="D41" s="718" t="s">
        <v>559</v>
      </c>
      <c r="E41" s="721">
        <v>14.96</v>
      </c>
    </row>
    <row r="42" spans="1:5" ht="15" x14ac:dyDescent="0.25">
      <c r="A42" s="705">
        <f t="shared" si="0"/>
        <v>29</v>
      </c>
      <c r="B42" s="716"/>
      <c r="C42" s="717">
        <v>4</v>
      </c>
      <c r="D42" s="718" t="s">
        <v>560</v>
      </c>
      <c r="E42" s="721">
        <v>19.8</v>
      </c>
    </row>
    <row r="43" spans="1:5" ht="15" x14ac:dyDescent="0.25">
      <c r="A43" s="705">
        <f t="shared" si="0"/>
        <v>30</v>
      </c>
      <c r="B43" s="716"/>
      <c r="C43" s="717">
        <v>4</v>
      </c>
      <c r="D43" s="718" t="s">
        <v>561</v>
      </c>
      <c r="E43" s="721">
        <v>3.96</v>
      </c>
    </row>
    <row r="44" spans="1:5" ht="15" x14ac:dyDescent="0.25">
      <c r="A44" s="705">
        <f t="shared" si="0"/>
        <v>31</v>
      </c>
      <c r="B44" s="716"/>
      <c r="C44" s="717">
        <v>4</v>
      </c>
      <c r="D44" s="718" t="s">
        <v>562</v>
      </c>
      <c r="E44" s="721">
        <v>10.119999999999999</v>
      </c>
    </row>
    <row r="45" spans="1:5" ht="15" x14ac:dyDescent="0.25">
      <c r="A45" s="705">
        <f t="shared" si="0"/>
        <v>32</v>
      </c>
      <c r="B45" s="716"/>
      <c r="C45" s="717">
        <v>4</v>
      </c>
      <c r="D45" s="718" t="s">
        <v>563</v>
      </c>
      <c r="E45" s="721">
        <v>28.16</v>
      </c>
    </row>
    <row r="46" spans="1:5" ht="15" x14ac:dyDescent="0.25">
      <c r="A46" s="705">
        <f t="shared" si="0"/>
        <v>33</v>
      </c>
      <c r="B46" s="716"/>
      <c r="C46" s="717">
        <v>4</v>
      </c>
      <c r="D46" s="718" t="s">
        <v>564</v>
      </c>
      <c r="E46" s="721">
        <v>23.76</v>
      </c>
    </row>
    <row r="47" spans="1:5" ht="15" x14ac:dyDescent="0.25">
      <c r="A47" s="705">
        <f t="shared" si="0"/>
        <v>34</v>
      </c>
      <c r="B47" s="716"/>
      <c r="C47" s="717">
        <v>4</v>
      </c>
      <c r="D47" s="718" t="s">
        <v>565</v>
      </c>
      <c r="E47" s="721">
        <v>8.8000000000000007</v>
      </c>
    </row>
    <row r="48" spans="1:5" ht="15" x14ac:dyDescent="0.25">
      <c r="A48" s="705">
        <f t="shared" si="0"/>
        <v>35</v>
      </c>
      <c r="B48" s="716"/>
      <c r="C48" s="717">
        <v>4</v>
      </c>
      <c r="D48" s="718" t="s">
        <v>566</v>
      </c>
      <c r="E48" s="721">
        <v>33.880000000000003</v>
      </c>
    </row>
    <row r="49" spans="1:5" ht="15" x14ac:dyDescent="0.25">
      <c r="A49" s="705">
        <f t="shared" si="0"/>
        <v>36</v>
      </c>
      <c r="B49" s="716"/>
      <c r="C49" s="717">
        <v>4</v>
      </c>
      <c r="D49" s="718" t="s">
        <v>567</v>
      </c>
      <c r="E49" s="721">
        <v>95.48</v>
      </c>
    </row>
    <row r="50" spans="1:5" ht="14.25" x14ac:dyDescent="0.2">
      <c r="A50" s="705">
        <f t="shared" si="0"/>
        <v>37</v>
      </c>
      <c r="B50" s="710" t="s">
        <v>353</v>
      </c>
      <c r="C50" s="711">
        <v>1</v>
      </c>
      <c r="D50" s="708" t="s">
        <v>24</v>
      </c>
      <c r="E50" s="709">
        <v>5.0999999999999996</v>
      </c>
    </row>
    <row r="51" spans="1:5" ht="14.25" x14ac:dyDescent="0.2">
      <c r="A51" s="705">
        <f t="shared" si="0"/>
        <v>38</v>
      </c>
      <c r="B51" s="710" t="s">
        <v>315</v>
      </c>
      <c r="C51" s="711">
        <v>1</v>
      </c>
      <c r="D51" s="708" t="s">
        <v>24</v>
      </c>
      <c r="E51" s="709">
        <v>2.9</v>
      </c>
    </row>
    <row r="52" spans="1:5" ht="14.25" x14ac:dyDescent="0.2">
      <c r="A52" s="705">
        <f t="shared" si="0"/>
        <v>39</v>
      </c>
      <c r="B52" s="722" t="s">
        <v>492</v>
      </c>
      <c r="C52" s="723">
        <v>1</v>
      </c>
      <c r="D52" s="724"/>
      <c r="E52" s="709">
        <v>276.60000000000002</v>
      </c>
    </row>
    <row r="53" spans="1:5" ht="15" x14ac:dyDescent="0.25">
      <c r="A53" s="705">
        <f t="shared" si="0"/>
        <v>40</v>
      </c>
      <c r="B53" s="725" t="s">
        <v>383</v>
      </c>
      <c r="C53" s="723">
        <v>1</v>
      </c>
      <c r="D53" s="725" t="s">
        <v>24</v>
      </c>
      <c r="E53" s="719">
        <v>273.60000000000002</v>
      </c>
    </row>
    <row r="54" spans="1:5" ht="15" x14ac:dyDescent="0.25">
      <c r="A54" s="705">
        <f t="shared" si="0"/>
        <v>41</v>
      </c>
      <c r="B54" s="722"/>
      <c r="C54" s="723">
        <v>1</v>
      </c>
      <c r="D54" s="725" t="s">
        <v>7</v>
      </c>
      <c r="E54" s="719">
        <v>0.5</v>
      </c>
    </row>
    <row r="55" spans="1:5" ht="15" x14ac:dyDescent="0.25">
      <c r="A55" s="705">
        <f t="shared" si="0"/>
        <v>42</v>
      </c>
      <c r="B55" s="722"/>
      <c r="C55" s="723">
        <v>1</v>
      </c>
      <c r="D55" s="725" t="s">
        <v>8</v>
      </c>
      <c r="E55" s="719">
        <v>0.5</v>
      </c>
    </row>
    <row r="56" spans="1:5" ht="15" x14ac:dyDescent="0.25">
      <c r="A56" s="705">
        <f t="shared" si="0"/>
        <v>43</v>
      </c>
      <c r="B56" s="722"/>
      <c r="C56" s="723">
        <v>1</v>
      </c>
      <c r="D56" s="725" t="s">
        <v>9</v>
      </c>
      <c r="E56" s="719">
        <v>0.5</v>
      </c>
    </row>
    <row r="57" spans="1:5" ht="15" x14ac:dyDescent="0.25">
      <c r="A57" s="705">
        <f t="shared" si="0"/>
        <v>44</v>
      </c>
      <c r="B57" s="722"/>
      <c r="C57" s="723">
        <v>1</v>
      </c>
      <c r="D57" s="725" t="s">
        <v>13</v>
      </c>
      <c r="E57" s="719">
        <v>0.5</v>
      </c>
    </row>
    <row r="58" spans="1:5" ht="15" x14ac:dyDescent="0.25">
      <c r="A58" s="705">
        <f t="shared" si="0"/>
        <v>45</v>
      </c>
      <c r="B58" s="722"/>
      <c r="C58" s="723"/>
      <c r="D58" s="725" t="s">
        <v>12</v>
      </c>
      <c r="E58" s="719">
        <v>0.5</v>
      </c>
    </row>
    <row r="59" spans="1:5" ht="15" x14ac:dyDescent="0.25">
      <c r="A59" s="705">
        <f t="shared" si="0"/>
        <v>46</v>
      </c>
      <c r="B59" s="722"/>
      <c r="C59" s="723">
        <v>1</v>
      </c>
      <c r="D59" s="725" t="s">
        <v>26</v>
      </c>
      <c r="E59" s="719">
        <v>0.5</v>
      </c>
    </row>
    <row r="60" spans="1:5" ht="15" x14ac:dyDescent="0.25">
      <c r="A60" s="705">
        <f t="shared" si="0"/>
        <v>47</v>
      </c>
      <c r="B60" s="722"/>
      <c r="C60" s="723"/>
      <c r="D60" s="725"/>
      <c r="E60" s="719"/>
    </row>
    <row r="61" spans="1:5" ht="15" x14ac:dyDescent="0.25">
      <c r="A61" s="705">
        <f t="shared" si="0"/>
        <v>48</v>
      </c>
      <c r="B61" s="710" t="s">
        <v>325</v>
      </c>
      <c r="C61" s="711">
        <v>6</v>
      </c>
      <c r="D61" s="718" t="s">
        <v>190</v>
      </c>
      <c r="E61" s="715">
        <v>287.2</v>
      </c>
    </row>
    <row r="62" spans="1:5" ht="15" x14ac:dyDescent="0.25">
      <c r="A62" s="705">
        <f t="shared" si="0"/>
        <v>49</v>
      </c>
      <c r="B62" s="726"/>
      <c r="C62" s="727"/>
      <c r="D62" s="728"/>
      <c r="E62" s="709"/>
    </row>
    <row r="63" spans="1:5" ht="14.25" x14ac:dyDescent="0.2">
      <c r="A63" s="705">
        <f t="shared" si="0"/>
        <v>50</v>
      </c>
      <c r="B63" s="710" t="s">
        <v>1</v>
      </c>
      <c r="C63" s="711">
        <v>1</v>
      </c>
      <c r="D63" s="714" t="s">
        <v>1</v>
      </c>
      <c r="E63" s="715">
        <v>1445</v>
      </c>
    </row>
    <row r="64" spans="1:5" ht="14.25" x14ac:dyDescent="0.2">
      <c r="A64" s="705">
        <f t="shared" si="0"/>
        <v>51</v>
      </c>
      <c r="B64" s="710" t="s">
        <v>321</v>
      </c>
      <c r="C64" s="711">
        <v>4</v>
      </c>
      <c r="D64" s="729" t="s">
        <v>6</v>
      </c>
      <c r="E64" s="715">
        <v>316.08</v>
      </c>
    </row>
    <row r="65" spans="1:5" ht="14.25" x14ac:dyDescent="0.2">
      <c r="A65" s="705">
        <v>51</v>
      </c>
      <c r="B65" s="710" t="s">
        <v>354</v>
      </c>
      <c r="C65" s="711">
        <v>1</v>
      </c>
      <c r="D65" s="710" t="s">
        <v>24</v>
      </c>
      <c r="E65" s="709">
        <v>8.1959999999999997</v>
      </c>
    </row>
    <row r="66" spans="1:5" ht="30.75" customHeight="1" x14ac:dyDescent="0.2">
      <c r="A66" s="730">
        <v>52</v>
      </c>
      <c r="B66" s="731" t="s">
        <v>615</v>
      </c>
      <c r="C66" s="732"/>
      <c r="D66" s="733"/>
      <c r="E66" s="734">
        <f>+E64+E63+E61+E52+E51+E50+E37+E33+E29+E28+E23+SUM(E14:E22)+E65</f>
        <v>5322.1759999999995</v>
      </c>
    </row>
    <row r="67" spans="1:5" ht="14.25" x14ac:dyDescent="0.2">
      <c r="A67" s="705">
        <v>53</v>
      </c>
      <c r="B67" s="710" t="s">
        <v>283</v>
      </c>
      <c r="C67" s="711">
        <v>2</v>
      </c>
      <c r="D67" s="729" t="s">
        <v>355</v>
      </c>
      <c r="E67" s="715">
        <v>10821.4</v>
      </c>
    </row>
    <row r="68" spans="1:5" ht="14.25" x14ac:dyDescent="0.2">
      <c r="A68" s="705">
        <v>54</v>
      </c>
      <c r="B68" s="706" t="s">
        <v>356</v>
      </c>
      <c r="C68" s="707"/>
      <c r="D68" s="729"/>
      <c r="E68" s="715">
        <f>E69+E70</f>
        <v>190.5</v>
      </c>
    </row>
    <row r="69" spans="1:5" ht="15" x14ac:dyDescent="0.25">
      <c r="A69" s="705">
        <f t="shared" si="0"/>
        <v>55</v>
      </c>
      <c r="B69" s="735" t="s">
        <v>383</v>
      </c>
      <c r="C69" s="707">
        <v>4</v>
      </c>
      <c r="D69" s="720" t="s">
        <v>106</v>
      </c>
      <c r="E69" s="736">
        <v>186.8</v>
      </c>
    </row>
    <row r="70" spans="1:5" ht="15" x14ac:dyDescent="0.25">
      <c r="A70" s="705">
        <f t="shared" si="0"/>
        <v>56</v>
      </c>
      <c r="B70" s="706"/>
      <c r="C70" s="707">
        <v>1</v>
      </c>
      <c r="D70" s="720" t="s">
        <v>24</v>
      </c>
      <c r="E70" s="719">
        <v>3.7</v>
      </c>
    </row>
    <row r="71" spans="1:5" ht="14.25" x14ac:dyDescent="0.2">
      <c r="A71" s="705">
        <f t="shared" si="0"/>
        <v>57</v>
      </c>
      <c r="B71" s="712" t="s">
        <v>357</v>
      </c>
      <c r="C71" s="713">
        <v>3</v>
      </c>
      <c r="D71" s="729" t="s">
        <v>254</v>
      </c>
      <c r="E71" s="715">
        <v>35.996000000000002</v>
      </c>
    </row>
    <row r="72" spans="1:5" ht="28.5" x14ac:dyDescent="0.2">
      <c r="A72" s="705">
        <f t="shared" si="0"/>
        <v>58</v>
      </c>
      <c r="B72" s="712" t="s">
        <v>336</v>
      </c>
      <c r="C72" s="713">
        <v>1</v>
      </c>
      <c r="D72" s="729" t="s">
        <v>24</v>
      </c>
      <c r="E72" s="737">
        <v>26.297999999999998</v>
      </c>
    </row>
    <row r="73" spans="1:5" ht="28.5" x14ac:dyDescent="0.2">
      <c r="A73" s="705">
        <f t="shared" si="0"/>
        <v>59</v>
      </c>
      <c r="B73" s="712" t="s">
        <v>335</v>
      </c>
      <c r="C73" s="713">
        <v>2</v>
      </c>
      <c r="D73" s="729" t="s">
        <v>32</v>
      </c>
      <c r="E73" s="715">
        <v>122.5</v>
      </c>
    </row>
    <row r="74" spans="1:5" ht="28.5" x14ac:dyDescent="0.2">
      <c r="A74" s="705">
        <f t="shared" si="0"/>
        <v>60</v>
      </c>
      <c r="B74" s="712" t="s">
        <v>650</v>
      </c>
      <c r="C74" s="713">
        <v>2</v>
      </c>
      <c r="D74" s="729" t="s">
        <v>253</v>
      </c>
      <c r="E74" s="715">
        <v>0.7</v>
      </c>
    </row>
    <row r="75" spans="1:5" ht="14.25" x14ac:dyDescent="0.2">
      <c r="A75" s="705">
        <f t="shared" si="0"/>
        <v>61</v>
      </c>
      <c r="B75" s="738" t="s">
        <v>358</v>
      </c>
      <c r="C75" s="713">
        <v>2</v>
      </c>
      <c r="D75" s="729" t="s">
        <v>355</v>
      </c>
      <c r="E75" s="715">
        <v>148</v>
      </c>
    </row>
    <row r="76" spans="1:5" ht="28.5" x14ac:dyDescent="0.2">
      <c r="A76" s="705">
        <f t="shared" si="0"/>
        <v>62</v>
      </c>
      <c r="B76" s="712" t="s">
        <v>375</v>
      </c>
      <c r="C76" s="713">
        <v>2</v>
      </c>
      <c r="D76" s="729" t="s">
        <v>355</v>
      </c>
      <c r="E76" s="715">
        <v>53.194000000000003</v>
      </c>
    </row>
    <row r="77" spans="1:5" ht="14.25" x14ac:dyDescent="0.2">
      <c r="A77" s="705">
        <f t="shared" si="0"/>
        <v>63</v>
      </c>
      <c r="B77" s="738" t="s">
        <v>536</v>
      </c>
      <c r="C77" s="739">
        <v>2</v>
      </c>
      <c r="D77" s="729" t="s">
        <v>355</v>
      </c>
      <c r="E77" s="715">
        <v>63.222000000000001</v>
      </c>
    </row>
    <row r="78" spans="1:5" ht="28.5" x14ac:dyDescent="0.2">
      <c r="A78" s="705">
        <f t="shared" si="0"/>
        <v>64</v>
      </c>
      <c r="B78" s="740" t="s">
        <v>493</v>
      </c>
      <c r="C78" s="739"/>
      <c r="D78" s="729"/>
      <c r="E78" s="715">
        <f>E79+E80</f>
        <v>98.540999999999997</v>
      </c>
    </row>
    <row r="79" spans="1:5" ht="15" x14ac:dyDescent="0.25">
      <c r="A79" s="705">
        <f t="shared" si="0"/>
        <v>65</v>
      </c>
      <c r="B79" s="741" t="s">
        <v>383</v>
      </c>
      <c r="C79" s="742">
        <v>4</v>
      </c>
      <c r="D79" s="720" t="s">
        <v>106</v>
      </c>
      <c r="E79" s="736">
        <f>121.119-24.51</f>
        <v>96.608999999999995</v>
      </c>
    </row>
    <row r="80" spans="1:5" ht="15" x14ac:dyDescent="0.25">
      <c r="A80" s="705">
        <f t="shared" si="0"/>
        <v>66</v>
      </c>
      <c r="B80" s="740"/>
      <c r="C80" s="742">
        <v>1</v>
      </c>
      <c r="D80" s="720" t="s">
        <v>24</v>
      </c>
      <c r="E80" s="736">
        <f>2.422-0.49</f>
        <v>1.9320000000000002</v>
      </c>
    </row>
    <row r="81" spans="1:6" ht="28.5" x14ac:dyDescent="0.2">
      <c r="A81" s="705">
        <f t="shared" si="0"/>
        <v>67</v>
      </c>
      <c r="B81" s="740" t="s">
        <v>494</v>
      </c>
      <c r="C81" s="739"/>
      <c r="D81" s="729"/>
      <c r="E81" s="715">
        <f>E82+E83</f>
        <v>74.704999999999998</v>
      </c>
    </row>
    <row r="82" spans="1:6" ht="15" x14ac:dyDescent="0.25">
      <c r="A82" s="705">
        <f t="shared" si="0"/>
        <v>68</v>
      </c>
      <c r="B82" s="741" t="s">
        <v>383</v>
      </c>
      <c r="C82" s="742">
        <v>4</v>
      </c>
      <c r="D82" s="720" t="s">
        <v>106</v>
      </c>
      <c r="E82" s="736">
        <v>72.528999999999996</v>
      </c>
    </row>
    <row r="83" spans="1:6" ht="15" x14ac:dyDescent="0.25">
      <c r="A83" s="705">
        <f t="shared" ref="A83:A85" si="1">A82+1</f>
        <v>69</v>
      </c>
      <c r="B83" s="740"/>
      <c r="C83" s="742">
        <v>1</v>
      </c>
      <c r="D83" s="720" t="s">
        <v>24</v>
      </c>
      <c r="E83" s="736">
        <v>2.1760000000000002</v>
      </c>
    </row>
    <row r="84" spans="1:6" ht="14.25" x14ac:dyDescent="0.2">
      <c r="A84" s="705">
        <f t="shared" si="1"/>
        <v>70</v>
      </c>
      <c r="B84" s="740" t="s">
        <v>417</v>
      </c>
      <c r="C84" s="743"/>
      <c r="D84" s="729"/>
      <c r="E84" s="715">
        <v>25.001000000000001</v>
      </c>
    </row>
    <row r="85" spans="1:6" ht="15" x14ac:dyDescent="0.25">
      <c r="A85" s="705">
        <f t="shared" si="1"/>
        <v>71</v>
      </c>
      <c r="B85" s="741" t="s">
        <v>383</v>
      </c>
      <c r="C85" s="744">
        <v>4</v>
      </c>
      <c r="D85" s="720" t="s">
        <v>106</v>
      </c>
      <c r="E85" s="736"/>
    </row>
    <row r="86" spans="1:6" ht="42.75" x14ac:dyDescent="0.2">
      <c r="A86" s="705">
        <v>72</v>
      </c>
      <c r="B86" s="745" t="s">
        <v>495</v>
      </c>
      <c r="C86" s="711">
        <v>1</v>
      </c>
      <c r="D86" s="710" t="s">
        <v>24</v>
      </c>
      <c r="E86" s="709">
        <v>43.896000000000001</v>
      </c>
      <c r="F86" s="186"/>
    </row>
    <row r="87" spans="1:6" ht="14.25" x14ac:dyDescent="0.2">
      <c r="A87" s="795"/>
      <c r="B87" s="745" t="s">
        <v>750</v>
      </c>
      <c r="C87" s="711">
        <v>4</v>
      </c>
      <c r="D87" s="796"/>
      <c r="E87" s="797">
        <f>E88+E89</f>
        <v>111</v>
      </c>
      <c r="F87" s="186"/>
    </row>
    <row r="88" spans="1:6" ht="14.25" x14ac:dyDescent="0.2">
      <c r="A88" s="705">
        <v>73</v>
      </c>
      <c r="B88" s="745"/>
      <c r="C88" s="711"/>
      <c r="D88" s="729" t="s">
        <v>228</v>
      </c>
      <c r="E88" s="862">
        <f>111-50.63877</f>
        <v>60.361229999999999</v>
      </c>
    </row>
    <row r="89" spans="1:6" ht="14.25" x14ac:dyDescent="0.2">
      <c r="A89" s="705">
        <v>74</v>
      </c>
      <c r="B89" s="745"/>
      <c r="C89" s="711"/>
      <c r="D89" s="729" t="s">
        <v>693</v>
      </c>
      <c r="E89" s="862">
        <v>50.638770000000001</v>
      </c>
      <c r="F89" s="204"/>
    </row>
    <row r="90" spans="1:6" ht="28.5" x14ac:dyDescent="0.2">
      <c r="A90" s="705">
        <v>75</v>
      </c>
      <c r="B90" s="745" t="s">
        <v>570</v>
      </c>
      <c r="C90" s="711"/>
      <c r="D90" s="729"/>
      <c r="E90" s="709">
        <f>E91+E92+E93</f>
        <v>77.256</v>
      </c>
    </row>
    <row r="91" spans="1:6" ht="15" x14ac:dyDescent="0.25">
      <c r="A91" s="705">
        <f t="shared" ref="A91:A96" si="2">A90+1</f>
        <v>76</v>
      </c>
      <c r="B91" s="746" t="s">
        <v>41</v>
      </c>
      <c r="C91" s="717">
        <v>4</v>
      </c>
      <c r="D91" s="720" t="s">
        <v>228</v>
      </c>
      <c r="E91" s="863">
        <f>31.3-16.58014</f>
        <v>14.719860000000001</v>
      </c>
    </row>
    <row r="92" spans="1:6" ht="15" x14ac:dyDescent="0.25">
      <c r="A92" s="705">
        <f t="shared" si="2"/>
        <v>77</v>
      </c>
      <c r="B92" s="745"/>
      <c r="C92" s="717">
        <v>4</v>
      </c>
      <c r="D92" s="720" t="s">
        <v>25</v>
      </c>
      <c r="E92" s="863">
        <f>43.7+2.256-20.91986</f>
        <v>25.036140000000003</v>
      </c>
    </row>
    <row r="93" spans="1:6" ht="15" x14ac:dyDescent="0.25">
      <c r="A93" s="705">
        <v>78</v>
      </c>
      <c r="B93" s="745"/>
      <c r="C93" s="717"/>
      <c r="D93" s="729" t="s">
        <v>693</v>
      </c>
      <c r="E93" s="863">
        <v>37.5</v>
      </c>
    </row>
    <row r="94" spans="1:6" ht="42.75" x14ac:dyDescent="0.25">
      <c r="A94" s="705">
        <v>79</v>
      </c>
      <c r="B94" s="745" t="s">
        <v>506</v>
      </c>
      <c r="C94" s="717"/>
      <c r="D94" s="720"/>
      <c r="E94" s="709">
        <f>E95+E96</f>
        <v>5.2955000000000005</v>
      </c>
    </row>
    <row r="95" spans="1:6" ht="15" x14ac:dyDescent="0.25">
      <c r="A95" s="705">
        <v>80</v>
      </c>
      <c r="B95" s="746" t="s">
        <v>537</v>
      </c>
      <c r="C95" s="717">
        <v>4</v>
      </c>
      <c r="D95" s="720" t="s">
        <v>106</v>
      </c>
      <c r="E95" s="709">
        <v>5.1916700000000002</v>
      </c>
    </row>
    <row r="96" spans="1:6" ht="15" x14ac:dyDescent="0.25">
      <c r="A96" s="705">
        <f t="shared" si="2"/>
        <v>81</v>
      </c>
      <c r="B96" s="746"/>
      <c r="C96" s="717">
        <v>1</v>
      </c>
      <c r="D96" s="716" t="s">
        <v>24</v>
      </c>
      <c r="E96" s="709">
        <v>0.10383000000000001</v>
      </c>
    </row>
    <row r="97" spans="1:6" ht="14.25" x14ac:dyDescent="0.2">
      <c r="A97" s="705">
        <v>81</v>
      </c>
      <c r="B97" s="745" t="s">
        <v>588</v>
      </c>
      <c r="C97" s="711">
        <v>1</v>
      </c>
      <c r="D97" s="710" t="s">
        <v>24</v>
      </c>
      <c r="E97" s="709">
        <v>24.419</v>
      </c>
    </row>
    <row r="98" spans="1:6" ht="15" x14ac:dyDescent="0.2">
      <c r="A98" s="705">
        <v>82</v>
      </c>
      <c r="B98" s="745" t="s">
        <v>601</v>
      </c>
      <c r="C98" s="711"/>
      <c r="D98" s="720"/>
      <c r="E98" s="747">
        <f>E99+E100</f>
        <v>6.2552599999999998</v>
      </c>
    </row>
    <row r="99" spans="1:6" ht="15" x14ac:dyDescent="0.2">
      <c r="A99" s="705">
        <v>83</v>
      </c>
      <c r="B99" s="746" t="s">
        <v>602</v>
      </c>
      <c r="C99" s="711">
        <v>4</v>
      </c>
      <c r="D99" s="720" t="s">
        <v>106</v>
      </c>
      <c r="E99" s="748">
        <v>6.0146699999999997</v>
      </c>
    </row>
    <row r="100" spans="1:6" ht="15" x14ac:dyDescent="0.25">
      <c r="A100" s="705">
        <v>84</v>
      </c>
      <c r="B100" s="746"/>
      <c r="C100" s="711">
        <v>1</v>
      </c>
      <c r="D100" s="716" t="s">
        <v>24</v>
      </c>
      <c r="E100" s="748">
        <v>0.24059</v>
      </c>
      <c r="F100" s="204"/>
    </row>
    <row r="101" spans="1:6" ht="14.25" x14ac:dyDescent="0.2">
      <c r="A101" s="705">
        <v>85</v>
      </c>
      <c r="B101" s="749" t="s">
        <v>598</v>
      </c>
      <c r="C101" s="711">
        <v>5</v>
      </c>
      <c r="D101" s="710" t="s">
        <v>603</v>
      </c>
      <c r="E101" s="737">
        <v>523</v>
      </c>
    </row>
    <row r="102" spans="1:6" ht="14.25" x14ac:dyDescent="0.2">
      <c r="A102" s="705">
        <v>86</v>
      </c>
      <c r="B102" s="745" t="s">
        <v>589</v>
      </c>
      <c r="C102" s="711">
        <v>5</v>
      </c>
      <c r="D102" s="710" t="s">
        <v>603</v>
      </c>
      <c r="E102" s="737">
        <v>2499.5</v>
      </c>
    </row>
    <row r="103" spans="1:6" ht="14.25" x14ac:dyDescent="0.2">
      <c r="A103" s="705">
        <v>87</v>
      </c>
      <c r="B103" s="745" t="s">
        <v>591</v>
      </c>
      <c r="C103" s="711">
        <v>3</v>
      </c>
      <c r="D103" s="710" t="s">
        <v>190</v>
      </c>
      <c r="E103" s="737">
        <v>18.571000000000002</v>
      </c>
    </row>
    <row r="104" spans="1:6" ht="28.5" x14ac:dyDescent="0.2">
      <c r="A104" s="705">
        <v>88</v>
      </c>
      <c r="B104" s="745" t="s">
        <v>654</v>
      </c>
      <c r="C104" s="711">
        <v>4</v>
      </c>
      <c r="D104" s="710"/>
      <c r="E104" s="737">
        <f>E105+E106+E107</f>
        <v>49.692000000000007</v>
      </c>
    </row>
    <row r="105" spans="1:6" ht="15" x14ac:dyDescent="0.2">
      <c r="A105" s="705">
        <v>89</v>
      </c>
      <c r="B105" s="746" t="s">
        <v>602</v>
      </c>
      <c r="C105" s="711"/>
      <c r="D105" s="720" t="s">
        <v>228</v>
      </c>
      <c r="E105" s="748">
        <f>15.352-12.35929</f>
        <v>2.9927100000000006</v>
      </c>
    </row>
    <row r="106" spans="1:6" ht="15" x14ac:dyDescent="0.2">
      <c r="A106" s="705">
        <v>90</v>
      </c>
      <c r="B106" s="750"/>
      <c r="C106" s="751"/>
      <c r="D106" s="720" t="s">
        <v>25</v>
      </c>
      <c r="E106" s="748">
        <f>34.34-12.48671</f>
        <v>21.853290000000001</v>
      </c>
    </row>
    <row r="107" spans="1:6" ht="15" x14ac:dyDescent="0.2">
      <c r="A107" s="705"/>
      <c r="B107" s="750"/>
      <c r="C107" s="751"/>
      <c r="D107" s="720" t="s">
        <v>693</v>
      </c>
      <c r="E107" s="748">
        <v>24.846</v>
      </c>
    </row>
    <row r="108" spans="1:6" ht="63" x14ac:dyDescent="0.25">
      <c r="A108" s="705">
        <v>91</v>
      </c>
      <c r="B108" s="752" t="s">
        <v>655</v>
      </c>
      <c r="C108" s="711">
        <v>2</v>
      </c>
      <c r="D108" s="720"/>
      <c r="E108" s="737">
        <f>E109+E110+E111+E112+E113+E114+E115</f>
        <v>8.6399999999999988</v>
      </c>
    </row>
    <row r="109" spans="1:6" ht="15.75" x14ac:dyDescent="0.25">
      <c r="A109" s="705">
        <v>92</v>
      </c>
      <c r="B109" s="753" t="s">
        <v>41</v>
      </c>
      <c r="C109" s="751"/>
      <c r="D109" s="754" t="s">
        <v>656</v>
      </c>
      <c r="E109" s="755">
        <v>0.72</v>
      </c>
    </row>
    <row r="110" spans="1:6" ht="30" x14ac:dyDescent="0.25">
      <c r="A110" s="705">
        <v>93</v>
      </c>
      <c r="B110" s="752"/>
      <c r="C110" s="751"/>
      <c r="D110" s="754" t="s">
        <v>631</v>
      </c>
      <c r="E110" s="755">
        <v>2.16</v>
      </c>
    </row>
    <row r="111" spans="1:6" ht="15.75" x14ac:dyDescent="0.25">
      <c r="A111" s="705">
        <v>94</v>
      </c>
      <c r="B111" s="752"/>
      <c r="C111" s="751"/>
      <c r="D111" s="754" t="s">
        <v>657</v>
      </c>
      <c r="E111" s="755">
        <v>0.72</v>
      </c>
    </row>
    <row r="112" spans="1:6" ht="15.75" x14ac:dyDescent="0.25">
      <c r="A112" s="705">
        <v>95</v>
      </c>
      <c r="B112" s="752"/>
      <c r="C112" s="751"/>
      <c r="D112" s="754" t="s">
        <v>658</v>
      </c>
      <c r="E112" s="755">
        <v>1.44</v>
      </c>
    </row>
    <row r="113" spans="1:5" ht="15.75" x14ac:dyDescent="0.25">
      <c r="A113" s="705">
        <v>996</v>
      </c>
      <c r="B113" s="752"/>
      <c r="C113" s="751"/>
      <c r="D113" s="754" t="s">
        <v>659</v>
      </c>
      <c r="E113" s="755">
        <v>2.16</v>
      </c>
    </row>
    <row r="114" spans="1:5" ht="15.75" x14ac:dyDescent="0.25">
      <c r="A114" s="705">
        <v>97</v>
      </c>
      <c r="B114" s="752"/>
      <c r="C114" s="751"/>
      <c r="D114" s="754" t="s">
        <v>660</v>
      </c>
      <c r="E114" s="755">
        <v>0.72</v>
      </c>
    </row>
    <row r="115" spans="1:5" ht="15.75" x14ac:dyDescent="0.25">
      <c r="A115" s="705">
        <v>98</v>
      </c>
      <c r="B115" s="752"/>
      <c r="C115" s="751"/>
      <c r="D115" s="754" t="s">
        <v>661</v>
      </c>
      <c r="E115" s="755">
        <v>0.72</v>
      </c>
    </row>
    <row r="116" spans="1:5" ht="47.25" x14ac:dyDescent="0.25">
      <c r="A116" s="705">
        <v>99</v>
      </c>
      <c r="B116" s="752" t="s">
        <v>670</v>
      </c>
      <c r="C116" s="711">
        <v>2</v>
      </c>
      <c r="D116" s="729" t="s">
        <v>674</v>
      </c>
      <c r="E116" s="737">
        <v>6.4450000000000003</v>
      </c>
    </row>
    <row r="117" spans="1:5" ht="110.25" x14ac:dyDescent="0.25">
      <c r="A117" s="705">
        <v>100</v>
      </c>
      <c r="B117" s="756" t="s">
        <v>668</v>
      </c>
      <c r="C117" s="711">
        <v>4</v>
      </c>
      <c r="D117" s="729" t="s">
        <v>106</v>
      </c>
      <c r="E117" s="737">
        <v>16.759</v>
      </c>
    </row>
    <row r="118" spans="1:5" ht="28.5" x14ac:dyDescent="0.2">
      <c r="A118" s="705">
        <v>101</v>
      </c>
      <c r="B118" s="745" t="s">
        <v>669</v>
      </c>
      <c r="C118" s="711">
        <v>4</v>
      </c>
      <c r="D118" s="729" t="s">
        <v>106</v>
      </c>
      <c r="E118" s="737">
        <v>163</v>
      </c>
    </row>
    <row r="119" spans="1:5" ht="28.5" x14ac:dyDescent="0.2">
      <c r="A119" s="705">
        <v>102</v>
      </c>
      <c r="B119" s="745" t="s">
        <v>673</v>
      </c>
      <c r="C119" s="711">
        <v>3</v>
      </c>
      <c r="D119" s="729" t="s">
        <v>212</v>
      </c>
      <c r="E119" s="737">
        <v>238.12799999999999</v>
      </c>
    </row>
    <row r="120" spans="1:5" ht="42.75" x14ac:dyDescent="0.2">
      <c r="A120" s="730">
        <v>103</v>
      </c>
      <c r="B120" s="757" t="s">
        <v>721</v>
      </c>
      <c r="C120" s="758"/>
      <c r="D120" s="733"/>
      <c r="E120" s="759">
        <f>E67+E68+E71+E72+E73+E74+E75+E78+E84+E76+E81+E86+E88+E90+E94+E77+E97+E98+E101+E102+E103+E104+E108+E116+E117+E118+E119+E89</f>
        <v>15451.913759999999</v>
      </c>
    </row>
    <row r="121" spans="1:5" ht="14.25" x14ac:dyDescent="0.2">
      <c r="A121" s="705">
        <v>104</v>
      </c>
      <c r="B121" s="710" t="s">
        <v>662</v>
      </c>
      <c r="C121" s="711"/>
      <c r="D121" s="710"/>
      <c r="E121" s="760">
        <f>E66+E120</f>
        <v>20774.089759999999</v>
      </c>
    </row>
  </sheetData>
  <mergeCells count="7">
    <mergeCell ref="D4:E4"/>
    <mergeCell ref="D5:E5"/>
    <mergeCell ref="A12:A13"/>
    <mergeCell ref="B12:B13"/>
    <mergeCell ref="C12:C13"/>
    <mergeCell ref="D12:D13"/>
    <mergeCell ref="E12:E13"/>
  </mergeCells>
  <pageMargins left="0.62992125984251968" right="0" top="0.55118110236220474" bottom="0.35433070866141736" header="0.31496062992125984" footer="0.118110236220472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68931-C1F0-4FEF-9E98-1E3A36DF7121}">
  <sheetPr>
    <pageSetUpPr fitToPage="1"/>
  </sheetPr>
  <dimension ref="A2:Q56"/>
  <sheetViews>
    <sheetView tabSelected="1" workbookViewId="0">
      <selection activeCell="S19" sqref="S19"/>
    </sheetView>
  </sheetViews>
  <sheetFormatPr defaultRowHeight="12.75" x14ac:dyDescent="0.2"/>
  <cols>
    <col min="1" max="1" width="6.140625" bestFit="1" customWidth="1"/>
    <col min="2" max="2" width="5.85546875" customWidth="1"/>
    <col min="3" max="3" width="12" customWidth="1"/>
    <col min="4" max="4" width="19.85546875" customWidth="1"/>
    <col min="5" max="5" width="18.5703125" customWidth="1"/>
    <col min="6" max="6" width="12.5703125" customWidth="1"/>
    <col min="7" max="7" width="11.5703125" customWidth="1"/>
    <col min="8" max="8" width="10.7109375" bestFit="1" customWidth="1"/>
    <col min="9" max="9" width="12.140625" customWidth="1"/>
    <col min="10" max="10" width="10.7109375" bestFit="1" customWidth="1"/>
    <col min="11" max="11" width="13.42578125" customWidth="1"/>
    <col min="12" max="13" width="10.7109375" bestFit="1" customWidth="1"/>
    <col min="14" max="14" width="12.42578125" customWidth="1"/>
    <col min="15" max="15" width="13.42578125" customWidth="1"/>
    <col min="16" max="16" width="9.5703125" bestFit="1" customWidth="1"/>
    <col min="17" max="17" width="24.7109375" customWidth="1"/>
    <col min="19" max="19" width="13.140625" bestFit="1" customWidth="1"/>
    <col min="20" max="20" width="12.140625" customWidth="1"/>
    <col min="21" max="21" width="11.28515625" customWidth="1"/>
  </cols>
  <sheetData>
    <row r="2" spans="1:17" ht="15" x14ac:dyDescent="0.25">
      <c r="A2" s="194"/>
      <c r="B2" s="194"/>
      <c r="C2" s="194"/>
      <c r="D2" s="194"/>
      <c r="E2" s="194"/>
      <c r="F2" s="194"/>
      <c r="G2" s="194"/>
      <c r="H2" s="194"/>
      <c r="I2" s="194"/>
      <c r="J2" s="194"/>
      <c r="K2" s="194"/>
      <c r="L2" s="196" t="s">
        <v>448</v>
      </c>
      <c r="M2" s="196"/>
      <c r="N2" s="196"/>
      <c r="O2" s="194"/>
      <c r="P2" s="194"/>
      <c r="Q2" s="194"/>
    </row>
    <row r="3" spans="1:17" ht="15" x14ac:dyDescent="0.25">
      <c r="A3" s="194"/>
      <c r="B3" s="194"/>
      <c r="C3" s="194"/>
      <c r="D3" s="194"/>
      <c r="E3" s="194"/>
      <c r="F3" s="194"/>
      <c r="G3" s="194"/>
      <c r="H3" s="194"/>
      <c r="I3" s="194"/>
      <c r="J3" s="194"/>
      <c r="K3" s="194"/>
      <c r="L3" s="196" t="s">
        <v>583</v>
      </c>
      <c r="M3" s="196"/>
      <c r="N3" s="196"/>
      <c r="O3" s="194"/>
      <c r="P3" s="194"/>
      <c r="Q3" s="194"/>
    </row>
    <row r="4" spans="1:17" ht="15" x14ac:dyDescent="0.25">
      <c r="A4" s="194"/>
      <c r="B4" s="194"/>
      <c r="C4" s="194"/>
      <c r="D4" s="194"/>
      <c r="E4" s="194"/>
      <c r="F4" s="194"/>
      <c r="G4" s="194"/>
      <c r="H4" s="194"/>
      <c r="I4" s="194"/>
      <c r="J4" s="194"/>
      <c r="K4" s="194"/>
      <c r="L4" s="196" t="s">
        <v>586</v>
      </c>
      <c r="M4" s="196"/>
      <c r="N4" s="196"/>
      <c r="O4" s="194"/>
      <c r="P4" s="194"/>
      <c r="Q4" s="194"/>
    </row>
    <row r="5" spans="1:17" ht="15" x14ac:dyDescent="0.25">
      <c r="A5" s="194"/>
      <c r="B5" s="194"/>
      <c r="C5" s="194"/>
      <c r="D5" s="194"/>
      <c r="E5" s="194"/>
      <c r="F5" s="194"/>
      <c r="G5" s="194"/>
      <c r="H5" s="194"/>
      <c r="I5" s="194"/>
      <c r="J5" s="194" t="s">
        <v>620</v>
      </c>
      <c r="K5" s="194"/>
      <c r="L5" s="206" t="s">
        <v>621</v>
      </c>
      <c r="M5" s="208"/>
      <c r="N5" s="208"/>
      <c r="O5" s="208"/>
      <c r="P5" s="208"/>
      <c r="Q5" s="208"/>
    </row>
    <row r="6" spans="1:17" ht="15" x14ac:dyDescent="0.25">
      <c r="A6" s="194"/>
      <c r="B6" s="194"/>
      <c r="C6" s="194"/>
      <c r="D6" s="194"/>
      <c r="E6" s="194"/>
      <c r="F6" s="194"/>
      <c r="G6" s="194"/>
      <c r="H6" s="194"/>
      <c r="I6" s="194"/>
      <c r="J6" s="194"/>
      <c r="K6" s="937" t="s">
        <v>766</v>
      </c>
      <c r="L6" s="938"/>
      <c r="M6" s="938"/>
      <c r="N6" s="938"/>
      <c r="O6" s="938"/>
      <c r="P6" s="208"/>
      <c r="Q6" s="208"/>
    </row>
    <row r="7" spans="1:17" ht="15" x14ac:dyDescent="0.25">
      <c r="A7" s="194"/>
      <c r="B7" s="194"/>
      <c r="C7" s="194"/>
      <c r="D7" s="194"/>
      <c r="E7" s="194"/>
      <c r="F7" s="194"/>
      <c r="G7" s="194"/>
      <c r="H7" s="194"/>
      <c r="I7" s="194"/>
      <c r="J7" s="194"/>
      <c r="K7" s="937" t="s">
        <v>622</v>
      </c>
      <c r="L7" s="938"/>
      <c r="M7" s="938"/>
      <c r="N7" s="938"/>
      <c r="O7" s="209"/>
      <c r="P7" s="209"/>
      <c r="Q7" s="207"/>
    </row>
    <row r="8" spans="1:17" ht="15" x14ac:dyDescent="0.25">
      <c r="A8" s="194"/>
      <c r="B8" s="194"/>
      <c r="C8" s="194"/>
      <c r="D8" s="197"/>
      <c r="E8" s="194"/>
      <c r="F8" s="194"/>
      <c r="G8" s="194"/>
      <c r="H8" s="194"/>
      <c r="I8" s="194"/>
      <c r="J8" s="194"/>
      <c r="K8" s="194"/>
      <c r="L8" s="196"/>
      <c r="M8" s="196"/>
      <c r="N8" s="196"/>
      <c r="O8" s="194"/>
      <c r="P8" s="194"/>
      <c r="Q8" s="194"/>
    </row>
    <row r="9" spans="1:17" ht="12.75" customHeight="1" x14ac:dyDescent="0.2">
      <c r="A9" s="939" t="s">
        <v>509</v>
      </c>
      <c r="B9" s="940"/>
      <c r="C9" s="940"/>
      <c r="D9" s="940"/>
      <c r="E9" s="940"/>
      <c r="F9" s="940"/>
      <c r="G9" s="941"/>
      <c r="H9" s="941"/>
      <c r="I9" s="941"/>
      <c r="J9" s="941"/>
      <c r="K9" s="941"/>
      <c r="L9" s="941"/>
      <c r="M9" s="941"/>
      <c r="N9" s="194"/>
      <c r="O9" s="194"/>
      <c r="P9" s="194"/>
      <c r="Q9" s="194"/>
    </row>
    <row r="10" spans="1:17" ht="12.75" customHeight="1" x14ac:dyDescent="0.2">
      <c r="A10" s="939"/>
      <c r="B10" s="940"/>
      <c r="C10" s="940"/>
      <c r="D10" s="940"/>
      <c r="E10" s="940"/>
      <c r="F10" s="940"/>
      <c r="G10" s="941"/>
      <c r="H10" s="941"/>
      <c r="I10" s="941"/>
      <c r="J10" s="941"/>
      <c r="K10" s="941"/>
      <c r="L10" s="941"/>
      <c r="M10" s="941"/>
      <c r="N10" s="194"/>
      <c r="O10" s="194"/>
      <c r="P10" s="194"/>
      <c r="Q10" s="194"/>
    </row>
    <row r="11" spans="1:17" ht="12.75" customHeight="1" x14ac:dyDescent="0.2">
      <c r="A11" s="939"/>
      <c r="B11" s="940"/>
      <c r="C11" s="940"/>
      <c r="D11" s="940"/>
      <c r="E11" s="940"/>
      <c r="F11" s="940"/>
      <c r="G11" s="941"/>
      <c r="H11" s="941"/>
      <c r="I11" s="941"/>
      <c r="J11" s="941"/>
      <c r="K11" s="941"/>
      <c r="L11" s="941"/>
      <c r="M11" s="941"/>
      <c r="N11" s="194"/>
      <c r="O11" s="194"/>
      <c r="P11" s="194"/>
      <c r="Q11" s="194"/>
    </row>
    <row r="12" spans="1:17" ht="12.75" customHeight="1" x14ac:dyDescent="0.2">
      <c r="A12" s="939"/>
      <c r="B12" s="940"/>
      <c r="C12" s="940"/>
      <c r="D12" s="940"/>
      <c r="E12" s="940"/>
      <c r="F12" s="940"/>
      <c r="G12" s="941"/>
      <c r="H12" s="941"/>
      <c r="I12" s="941"/>
      <c r="J12" s="941"/>
      <c r="K12" s="941"/>
      <c r="L12" s="941"/>
      <c r="M12" s="941"/>
      <c r="N12" s="194"/>
      <c r="O12" s="194"/>
      <c r="P12" s="194"/>
      <c r="Q12" s="194"/>
    </row>
    <row r="13" spans="1:17" ht="12.75" customHeight="1" x14ac:dyDescent="0.2">
      <c r="A13" s="940"/>
      <c r="B13" s="940"/>
      <c r="C13" s="940"/>
      <c r="D13" s="940"/>
      <c r="E13" s="940"/>
      <c r="F13" s="940"/>
      <c r="G13" s="941"/>
      <c r="H13" s="941"/>
      <c r="I13" s="941"/>
      <c r="J13" s="941"/>
      <c r="K13" s="941"/>
      <c r="L13" s="941"/>
      <c r="M13" s="941"/>
      <c r="N13" s="195"/>
      <c r="O13" s="195"/>
      <c r="P13" s="195"/>
      <c r="Q13" s="195"/>
    </row>
    <row r="14" spans="1:17" x14ac:dyDescent="0.2">
      <c r="N14" s="6" t="s">
        <v>692</v>
      </c>
    </row>
    <row r="15" spans="1:17" x14ac:dyDescent="0.2">
      <c r="A15" s="942" t="s">
        <v>465</v>
      </c>
      <c r="B15" s="942" t="s">
        <v>479</v>
      </c>
      <c r="C15" s="942" t="s">
        <v>685</v>
      </c>
      <c r="D15" s="942" t="s">
        <v>449</v>
      </c>
      <c r="E15" s="942" t="s">
        <v>480</v>
      </c>
      <c r="F15" s="942" t="s">
        <v>466</v>
      </c>
      <c r="G15" s="319" t="s">
        <v>360</v>
      </c>
      <c r="H15" s="331"/>
      <c r="I15" s="331"/>
      <c r="J15" s="331"/>
      <c r="K15" s="945" t="s">
        <v>510</v>
      </c>
      <c r="L15" s="946"/>
      <c r="M15" s="946"/>
      <c r="N15" s="946"/>
      <c r="O15" s="946"/>
      <c r="P15" s="947"/>
      <c r="Q15" s="951" t="s">
        <v>722</v>
      </c>
    </row>
    <row r="16" spans="1:17" x14ac:dyDescent="0.2">
      <c r="A16" s="943"/>
      <c r="B16" s="943"/>
      <c r="C16" s="943"/>
      <c r="D16" s="943"/>
      <c r="E16" s="943"/>
      <c r="F16" s="943"/>
      <c r="G16" s="942" t="s">
        <v>450</v>
      </c>
      <c r="H16" s="951" t="s">
        <v>451</v>
      </c>
      <c r="I16" s="942" t="s">
        <v>452</v>
      </c>
      <c r="J16" s="951" t="s">
        <v>453</v>
      </c>
      <c r="K16" s="948"/>
      <c r="L16" s="949"/>
      <c r="M16" s="949"/>
      <c r="N16" s="949"/>
      <c r="O16" s="949"/>
      <c r="P16" s="950"/>
      <c r="Q16" s="952"/>
    </row>
    <row r="17" spans="1:17" ht="76.5" x14ac:dyDescent="0.2">
      <c r="A17" s="944"/>
      <c r="B17" s="944"/>
      <c r="C17" s="944"/>
      <c r="D17" s="944"/>
      <c r="E17" s="944"/>
      <c r="F17" s="944"/>
      <c r="G17" s="944"/>
      <c r="H17" s="953"/>
      <c r="I17" s="944"/>
      <c r="J17" s="953"/>
      <c r="K17" s="331" t="s">
        <v>359</v>
      </c>
      <c r="L17" s="319" t="s">
        <v>450</v>
      </c>
      <c r="M17" s="319" t="s">
        <v>454</v>
      </c>
      <c r="N17" s="319" t="s">
        <v>452</v>
      </c>
      <c r="O17" s="319" t="s">
        <v>477</v>
      </c>
      <c r="P17" s="319" t="s">
        <v>455</v>
      </c>
      <c r="Q17" s="953"/>
    </row>
    <row r="18" spans="1:17" ht="51" x14ac:dyDescent="0.2">
      <c r="A18" s="332">
        <v>1</v>
      </c>
      <c r="B18" s="332">
        <v>5</v>
      </c>
      <c r="C18" s="333" t="s">
        <v>467</v>
      </c>
      <c r="D18" s="333" t="s">
        <v>456</v>
      </c>
      <c r="E18" s="333" t="s">
        <v>457</v>
      </c>
      <c r="F18" s="334">
        <f t="shared" ref="F18:F39" si="0" xml:space="preserve"> SUM(G18:J18)</f>
        <v>9350.3027700000002</v>
      </c>
      <c r="G18" s="335"/>
      <c r="H18" s="334">
        <v>4817</v>
      </c>
      <c r="I18" s="334"/>
      <c r="J18" s="334">
        <v>4533.3027700000002</v>
      </c>
      <c r="K18" s="334">
        <f t="shared" ref="K18:K44" si="1" xml:space="preserve"> SUM(L18:P18)</f>
        <v>1562.2863400000001</v>
      </c>
      <c r="L18" s="334"/>
      <c r="M18" s="334">
        <v>523</v>
      </c>
      <c r="N18" s="334"/>
      <c r="O18" s="334">
        <v>1039.2863400000001</v>
      </c>
      <c r="P18" s="334"/>
      <c r="Q18" s="762"/>
    </row>
    <row r="19" spans="1:17" ht="178.5" x14ac:dyDescent="0.2">
      <c r="A19" s="332">
        <v>2</v>
      </c>
      <c r="B19" s="336">
        <v>5</v>
      </c>
      <c r="C19" s="337" t="s">
        <v>468</v>
      </c>
      <c r="D19" s="338" t="s">
        <v>472</v>
      </c>
      <c r="E19" s="339" t="s">
        <v>470</v>
      </c>
      <c r="F19" s="334">
        <f t="shared" si="0"/>
        <v>1657.3076199999998</v>
      </c>
      <c r="G19" s="763">
        <v>944.90112999999997</v>
      </c>
      <c r="H19" s="763">
        <v>0</v>
      </c>
      <c r="I19" s="763">
        <v>376.63891000000001</v>
      </c>
      <c r="J19" s="341">
        <v>335.76758000000001</v>
      </c>
      <c r="K19" s="334">
        <f t="shared" si="1"/>
        <v>186.39303999999998</v>
      </c>
      <c r="L19" s="342"/>
      <c r="M19" s="342"/>
      <c r="N19" s="342"/>
      <c r="O19" s="343">
        <v>105.71338</v>
      </c>
      <c r="P19" s="764">
        <v>80.679659999999998</v>
      </c>
      <c r="Q19" s="765" t="s">
        <v>745</v>
      </c>
    </row>
    <row r="20" spans="1:17" ht="102" x14ac:dyDescent="0.2">
      <c r="A20" s="332">
        <v>3</v>
      </c>
      <c r="B20" s="332">
        <v>5</v>
      </c>
      <c r="C20" s="332" t="s">
        <v>468</v>
      </c>
      <c r="D20" s="333" t="s">
        <v>459</v>
      </c>
      <c r="E20" s="333" t="s">
        <v>458</v>
      </c>
      <c r="F20" s="334">
        <f xml:space="preserve"> SUM(H20:J20)</f>
        <v>66.012</v>
      </c>
      <c r="G20" s="391"/>
      <c r="H20" s="334">
        <v>59.293869999999998</v>
      </c>
      <c r="I20" s="334"/>
      <c r="J20" s="334">
        <v>6.7181300000000004</v>
      </c>
      <c r="K20" s="334">
        <f t="shared" si="1"/>
        <v>1.3260000000000001</v>
      </c>
      <c r="L20" s="334"/>
      <c r="M20" s="334"/>
      <c r="N20" s="334"/>
      <c r="O20" s="335">
        <v>0</v>
      </c>
      <c r="P20" s="335">
        <v>1.3260000000000001</v>
      </c>
      <c r="Q20" s="333" t="s">
        <v>723</v>
      </c>
    </row>
    <row r="21" spans="1:17" ht="89.25" x14ac:dyDescent="0.2">
      <c r="A21" s="332">
        <v>4</v>
      </c>
      <c r="B21" s="332">
        <v>6</v>
      </c>
      <c r="C21" s="333" t="s">
        <v>511</v>
      </c>
      <c r="D21" s="333" t="s">
        <v>469</v>
      </c>
      <c r="E21" s="333" t="s">
        <v>470</v>
      </c>
      <c r="F21" s="334">
        <f t="shared" si="0"/>
        <v>226.37725999999998</v>
      </c>
      <c r="G21" s="335">
        <v>152.01232999999999</v>
      </c>
      <c r="H21" s="335">
        <v>26.825710000000001</v>
      </c>
      <c r="I21" s="334"/>
      <c r="J21" s="335">
        <v>47.53922</v>
      </c>
      <c r="K21" s="334">
        <f t="shared" si="1"/>
        <v>105.03400999999999</v>
      </c>
      <c r="L21" s="344">
        <v>35.264299999999999</v>
      </c>
      <c r="M21" s="345">
        <v>6.2231100000000001</v>
      </c>
      <c r="N21" s="345"/>
      <c r="O21" s="344">
        <v>63.546599999999998</v>
      </c>
      <c r="P21" s="346"/>
      <c r="Q21" s="333" t="s">
        <v>746</v>
      </c>
    </row>
    <row r="22" spans="1:17" ht="153" x14ac:dyDescent="0.2">
      <c r="A22" s="336">
        <v>5</v>
      </c>
      <c r="B22" s="336">
        <v>6</v>
      </c>
      <c r="C22" s="336" t="s">
        <v>512</v>
      </c>
      <c r="D22" s="339" t="s">
        <v>471</v>
      </c>
      <c r="E22" s="339" t="s">
        <v>470</v>
      </c>
      <c r="F22" s="334">
        <f t="shared" si="0"/>
        <v>237.72261</v>
      </c>
      <c r="G22" s="347">
        <v>159.63073</v>
      </c>
      <c r="H22" s="347">
        <v>28.17013</v>
      </c>
      <c r="I22" s="348"/>
      <c r="J22" s="347">
        <v>49.921750000000003</v>
      </c>
      <c r="K22" s="334">
        <f t="shared" si="1"/>
        <v>221.11815999999999</v>
      </c>
      <c r="L22" s="344">
        <v>111.36064</v>
      </c>
      <c r="M22" s="345">
        <v>19.651869999999999</v>
      </c>
      <c r="N22" s="345"/>
      <c r="O22" s="344">
        <v>90.105649999999997</v>
      </c>
      <c r="P22" s="335"/>
      <c r="Q22" s="766" t="s">
        <v>724</v>
      </c>
    </row>
    <row r="23" spans="1:17" ht="140.25" x14ac:dyDescent="0.2">
      <c r="A23" s="336">
        <v>6</v>
      </c>
      <c r="B23" s="332">
        <v>6</v>
      </c>
      <c r="C23" s="349" t="s">
        <v>512</v>
      </c>
      <c r="D23" s="767" t="s">
        <v>571</v>
      </c>
      <c r="E23" s="350" t="s">
        <v>458</v>
      </c>
      <c r="F23" s="334">
        <f t="shared" si="0"/>
        <v>462</v>
      </c>
      <c r="G23" s="335">
        <v>255</v>
      </c>
      <c r="H23" s="334">
        <v>45</v>
      </c>
      <c r="I23" s="334"/>
      <c r="J23" s="335">
        <v>162</v>
      </c>
      <c r="K23" s="334">
        <f t="shared" si="1"/>
        <v>231</v>
      </c>
      <c r="L23" s="761">
        <v>127.5</v>
      </c>
      <c r="M23" s="761">
        <v>22.5</v>
      </c>
      <c r="N23" s="763"/>
      <c r="O23" s="763">
        <v>81</v>
      </c>
      <c r="P23" s="335"/>
      <c r="Q23" s="339" t="s">
        <v>725</v>
      </c>
    </row>
    <row r="24" spans="1:17" ht="191.25" x14ac:dyDescent="0.2">
      <c r="A24" s="336">
        <v>7</v>
      </c>
      <c r="B24" s="332">
        <v>6</v>
      </c>
      <c r="C24" s="349" t="s">
        <v>512</v>
      </c>
      <c r="D24" s="767" t="s">
        <v>572</v>
      </c>
      <c r="E24" s="350" t="s">
        <v>458</v>
      </c>
      <c r="F24" s="334">
        <f t="shared" si="0"/>
        <v>462</v>
      </c>
      <c r="G24" s="335">
        <v>255</v>
      </c>
      <c r="H24" s="334">
        <v>45</v>
      </c>
      <c r="I24" s="334"/>
      <c r="J24" s="335">
        <v>162</v>
      </c>
      <c r="K24" s="334">
        <f t="shared" si="1"/>
        <v>116</v>
      </c>
      <c r="L24" s="761">
        <v>63.75</v>
      </c>
      <c r="M24" s="761">
        <v>11.25</v>
      </c>
      <c r="N24" s="763"/>
      <c r="O24" s="763">
        <v>41</v>
      </c>
      <c r="P24" s="341"/>
      <c r="Q24" s="767" t="s">
        <v>726</v>
      </c>
    </row>
    <row r="25" spans="1:17" ht="242.25" x14ac:dyDescent="0.2">
      <c r="A25" s="336">
        <v>8</v>
      </c>
      <c r="B25" s="336">
        <v>2</v>
      </c>
      <c r="C25" s="768" t="s">
        <v>513</v>
      </c>
      <c r="D25" s="352" t="s">
        <v>514</v>
      </c>
      <c r="E25" s="339" t="s">
        <v>470</v>
      </c>
      <c r="F25" s="334">
        <f t="shared" si="0"/>
        <v>1718.50938</v>
      </c>
      <c r="G25" s="769">
        <v>1500</v>
      </c>
      <c r="H25" s="769">
        <v>218.50937999999999</v>
      </c>
      <c r="I25" s="763"/>
      <c r="J25" s="341"/>
      <c r="K25" s="763">
        <f t="shared" si="1"/>
        <v>650.89881400000002</v>
      </c>
      <c r="L25" s="763">
        <v>515.55281400000001</v>
      </c>
      <c r="M25" s="763"/>
      <c r="N25" s="763"/>
      <c r="O25" s="761">
        <v>135.346</v>
      </c>
      <c r="P25" s="353"/>
      <c r="Q25" s="767" t="s">
        <v>727</v>
      </c>
    </row>
    <row r="26" spans="1:17" ht="127.5" x14ac:dyDescent="0.2">
      <c r="A26" s="336">
        <v>9</v>
      </c>
      <c r="B26" s="354">
        <v>2</v>
      </c>
      <c r="C26" s="354" t="s">
        <v>475</v>
      </c>
      <c r="D26" s="355" t="s">
        <v>476</v>
      </c>
      <c r="E26" s="767" t="s">
        <v>470</v>
      </c>
      <c r="F26" s="334">
        <f t="shared" si="0"/>
        <v>70</v>
      </c>
      <c r="G26" s="761">
        <v>57.851239999999997</v>
      </c>
      <c r="H26" s="761">
        <v>12.148759999999999</v>
      </c>
      <c r="I26" s="763"/>
      <c r="J26" s="761">
        <v>0</v>
      </c>
      <c r="K26" s="334">
        <f t="shared" si="1"/>
        <v>7.1</v>
      </c>
      <c r="L26" s="761"/>
      <c r="M26" s="761"/>
      <c r="N26" s="763"/>
      <c r="O26" s="761">
        <v>7.1</v>
      </c>
      <c r="P26" s="761"/>
      <c r="Q26" s="767" t="s">
        <v>747</v>
      </c>
    </row>
    <row r="27" spans="1:17" ht="89.25" x14ac:dyDescent="0.2">
      <c r="A27" s="332">
        <v>10</v>
      </c>
      <c r="B27" s="332">
        <v>1</v>
      </c>
      <c r="C27" s="356" t="s">
        <v>515</v>
      </c>
      <c r="D27" s="770" t="s">
        <v>516</v>
      </c>
      <c r="E27" s="350" t="s">
        <v>517</v>
      </c>
      <c r="F27" s="348">
        <f t="shared" si="0"/>
        <v>67.992469999999997</v>
      </c>
      <c r="G27" s="357">
        <v>45.1</v>
      </c>
      <c r="H27" s="357"/>
      <c r="I27" s="357"/>
      <c r="J27" s="358">
        <v>22.892469999999999</v>
      </c>
      <c r="K27" s="334">
        <f t="shared" si="1"/>
        <v>67.992469999999997</v>
      </c>
      <c r="L27" s="761">
        <v>45.1</v>
      </c>
      <c r="M27" s="763"/>
      <c r="N27" s="763"/>
      <c r="O27" s="761">
        <v>22.892469999999999</v>
      </c>
      <c r="P27" s="335"/>
      <c r="Q27" s="767" t="s">
        <v>728</v>
      </c>
    </row>
    <row r="28" spans="1:17" ht="102" x14ac:dyDescent="0.2">
      <c r="A28" s="332">
        <v>11</v>
      </c>
      <c r="B28" s="332">
        <v>6</v>
      </c>
      <c r="C28" s="333" t="s">
        <v>518</v>
      </c>
      <c r="D28" s="770" t="s">
        <v>519</v>
      </c>
      <c r="E28" s="356" t="s">
        <v>520</v>
      </c>
      <c r="F28" s="348">
        <f t="shared" si="0"/>
        <v>80</v>
      </c>
      <c r="G28" s="769">
        <v>68</v>
      </c>
      <c r="H28" s="771"/>
      <c r="I28" s="772"/>
      <c r="J28" s="769">
        <v>12</v>
      </c>
      <c r="K28" s="334">
        <f t="shared" si="1"/>
        <v>26.666599999999999</v>
      </c>
      <c r="L28" s="761">
        <v>22.666599999999999</v>
      </c>
      <c r="M28" s="340"/>
      <c r="N28" s="340"/>
      <c r="O28" s="791">
        <v>4</v>
      </c>
      <c r="P28" s="792"/>
      <c r="Q28" s="793" t="s">
        <v>729</v>
      </c>
    </row>
    <row r="29" spans="1:17" ht="76.5" x14ac:dyDescent="0.2">
      <c r="A29" s="332">
        <v>12</v>
      </c>
      <c r="B29" s="332">
        <v>6</v>
      </c>
      <c r="C29" s="332" t="s">
        <v>521</v>
      </c>
      <c r="D29" s="770" t="s">
        <v>522</v>
      </c>
      <c r="E29" s="356" t="s">
        <v>523</v>
      </c>
      <c r="F29" s="763">
        <f t="shared" si="0"/>
        <v>97.8</v>
      </c>
      <c r="G29" s="360">
        <v>78.239999999999995</v>
      </c>
      <c r="H29" s="361">
        <v>9.7799999999999994</v>
      </c>
      <c r="I29" s="361">
        <v>0</v>
      </c>
      <c r="J29" s="360">
        <v>9.7799999999999994</v>
      </c>
      <c r="K29" s="362">
        <f t="shared" si="1"/>
        <v>37.549999999999997</v>
      </c>
      <c r="L29" s="761"/>
      <c r="M29" s="789"/>
      <c r="N29" s="789"/>
      <c r="O29" s="353">
        <v>37.549999999999997</v>
      </c>
      <c r="P29" s="794"/>
      <c r="Q29" s="793" t="s">
        <v>730</v>
      </c>
    </row>
    <row r="30" spans="1:17" ht="76.5" x14ac:dyDescent="0.2">
      <c r="A30" s="332">
        <v>13</v>
      </c>
      <c r="B30" s="332">
        <v>3</v>
      </c>
      <c r="C30" s="333" t="s">
        <v>524</v>
      </c>
      <c r="D30" s="333" t="s">
        <v>525</v>
      </c>
      <c r="E30" s="333" t="s">
        <v>573</v>
      </c>
      <c r="F30" s="763">
        <f t="shared" si="0"/>
        <v>94.307599999999994</v>
      </c>
      <c r="G30" s="363">
        <v>83.829599999999999</v>
      </c>
      <c r="H30" s="364">
        <v>10.478</v>
      </c>
      <c r="I30" s="364">
        <v>0</v>
      </c>
      <c r="J30" s="363" t="s">
        <v>686</v>
      </c>
      <c r="K30" s="362">
        <f t="shared" si="1"/>
        <v>83.287000000000006</v>
      </c>
      <c r="L30" s="761"/>
      <c r="M30" s="365"/>
      <c r="N30" s="365"/>
      <c r="O30" s="790">
        <v>83.287000000000006</v>
      </c>
      <c r="P30" s="790"/>
      <c r="Q30" s="773" t="s">
        <v>731</v>
      </c>
    </row>
    <row r="31" spans="1:17" ht="63.75" x14ac:dyDescent="0.2">
      <c r="A31" s="332">
        <v>14</v>
      </c>
      <c r="B31" s="332">
        <v>3</v>
      </c>
      <c r="C31" s="333" t="s">
        <v>526</v>
      </c>
      <c r="D31" s="366" t="s">
        <v>687</v>
      </c>
      <c r="E31" s="333" t="s">
        <v>458</v>
      </c>
      <c r="F31" s="763">
        <f t="shared" si="0"/>
        <v>27.905000000000001</v>
      </c>
      <c r="G31" s="761">
        <v>27.905000000000001</v>
      </c>
      <c r="H31" s="361"/>
      <c r="I31" s="361"/>
      <c r="J31" s="360"/>
      <c r="K31" s="362">
        <f t="shared" si="1"/>
        <v>27.905000000000001</v>
      </c>
      <c r="L31" s="761"/>
      <c r="M31" s="367"/>
      <c r="N31" s="365"/>
      <c r="O31" s="769">
        <v>27.905000000000001</v>
      </c>
      <c r="P31" s="341"/>
      <c r="Q31" s="333" t="s">
        <v>732</v>
      </c>
    </row>
    <row r="32" spans="1:17" ht="51" x14ac:dyDescent="0.2">
      <c r="A32" s="332">
        <v>15</v>
      </c>
      <c r="B32" s="332">
        <v>5</v>
      </c>
      <c r="C32" s="332" t="s">
        <v>468</v>
      </c>
      <c r="D32" s="333" t="s">
        <v>461</v>
      </c>
      <c r="E32" s="333" t="s">
        <v>460</v>
      </c>
      <c r="F32" s="334">
        <f t="shared" si="0"/>
        <v>305.84480000000002</v>
      </c>
      <c r="G32" s="761"/>
      <c r="H32" s="761">
        <v>244.66784000000001</v>
      </c>
      <c r="I32" s="335"/>
      <c r="J32" s="761">
        <v>61.176960000000001</v>
      </c>
      <c r="K32" s="334">
        <f t="shared" si="1"/>
        <v>1.0649999999999999</v>
      </c>
      <c r="L32" s="763"/>
      <c r="M32" s="392">
        <v>0.85199999999999998</v>
      </c>
      <c r="N32" s="334"/>
      <c r="O32" s="761">
        <v>0.21299999999999999</v>
      </c>
      <c r="P32" s="335"/>
      <c r="Q32" s="333" t="s">
        <v>733</v>
      </c>
    </row>
    <row r="33" spans="1:17" ht="64.5" thickBot="1" x14ac:dyDescent="0.25">
      <c r="A33" s="332">
        <v>16</v>
      </c>
      <c r="B33" s="332">
        <v>5</v>
      </c>
      <c r="C33" s="332" t="s">
        <v>468</v>
      </c>
      <c r="D33" s="333" t="s">
        <v>568</v>
      </c>
      <c r="E33" s="333" t="s">
        <v>464</v>
      </c>
      <c r="F33" s="334">
        <f xml:space="preserve"> SUM(H33:J33)</f>
        <v>399.99999999999994</v>
      </c>
      <c r="G33" s="391"/>
      <c r="H33" s="393">
        <v>238.12799999999999</v>
      </c>
      <c r="I33" s="334">
        <v>102.34</v>
      </c>
      <c r="J33" s="774">
        <v>59.531999999999996</v>
      </c>
      <c r="K33" s="334">
        <f t="shared" si="1"/>
        <v>59.531999999999996</v>
      </c>
      <c r="L33" s="335"/>
      <c r="M33" s="334"/>
      <c r="N33" s="334"/>
      <c r="O33" s="774">
        <v>59.531999999999996</v>
      </c>
      <c r="P33" s="335"/>
      <c r="Q33" s="333" t="s">
        <v>734</v>
      </c>
    </row>
    <row r="34" spans="1:17" ht="51" x14ac:dyDescent="0.2">
      <c r="A34" s="775">
        <v>17</v>
      </c>
      <c r="B34" s="775">
        <v>5</v>
      </c>
      <c r="C34" s="775" t="s">
        <v>468</v>
      </c>
      <c r="D34" s="767" t="s">
        <v>473</v>
      </c>
      <c r="E34" s="767" t="s">
        <v>474</v>
      </c>
      <c r="F34" s="334">
        <f t="shared" si="0"/>
        <v>18.542000000000002</v>
      </c>
      <c r="G34" s="761">
        <v>14.833</v>
      </c>
      <c r="H34" s="761"/>
      <c r="I34" s="763">
        <v>0</v>
      </c>
      <c r="J34" s="761">
        <v>3.7090000000000001</v>
      </c>
      <c r="K34" s="334">
        <f t="shared" si="1"/>
        <v>7.0821399999999999</v>
      </c>
      <c r="L34" s="771">
        <v>5.6673200000000001</v>
      </c>
      <c r="M34" s="763"/>
      <c r="N34" s="763"/>
      <c r="O34" s="761">
        <v>1.41482</v>
      </c>
      <c r="P34" s="761"/>
      <c r="Q34" s="767" t="s">
        <v>735</v>
      </c>
    </row>
    <row r="35" spans="1:17" ht="38.25" x14ac:dyDescent="0.2">
      <c r="A35" s="332">
        <v>18</v>
      </c>
      <c r="B35" s="332">
        <v>5</v>
      </c>
      <c r="C35" s="332" t="s">
        <v>468</v>
      </c>
      <c r="D35" s="333" t="s">
        <v>462</v>
      </c>
      <c r="E35" s="333" t="s">
        <v>463</v>
      </c>
      <c r="F35" s="334">
        <f t="shared" si="0"/>
        <v>51.118839999999999</v>
      </c>
      <c r="G35" s="335">
        <v>42.335000000000001</v>
      </c>
      <c r="H35" s="334"/>
      <c r="I35" s="334"/>
      <c r="J35" s="335">
        <v>8.7838399999999996</v>
      </c>
      <c r="K35" s="334">
        <f t="shared" si="1"/>
        <v>19.119799999999998</v>
      </c>
      <c r="L35" s="771">
        <v>17.829799999999999</v>
      </c>
      <c r="M35" s="334"/>
      <c r="N35" s="368"/>
      <c r="O35" s="769">
        <v>1.29</v>
      </c>
      <c r="P35" s="369"/>
      <c r="Q35" s="333" t="s">
        <v>736</v>
      </c>
    </row>
    <row r="36" spans="1:17" ht="76.5" x14ac:dyDescent="0.2">
      <c r="A36" s="775">
        <v>19</v>
      </c>
      <c r="B36" s="775">
        <v>5</v>
      </c>
      <c r="C36" s="775" t="s">
        <v>468</v>
      </c>
      <c r="D36" s="767" t="s">
        <v>478</v>
      </c>
      <c r="E36" s="767" t="s">
        <v>574</v>
      </c>
      <c r="F36" s="334">
        <f t="shared" si="0"/>
        <v>66.251130000000003</v>
      </c>
      <c r="G36" s="761">
        <v>52.689</v>
      </c>
      <c r="H36" s="761"/>
      <c r="I36" s="763">
        <v>2.7730000000000001</v>
      </c>
      <c r="J36" s="761">
        <v>10.78913</v>
      </c>
      <c r="K36" s="334">
        <f t="shared" si="1"/>
        <v>1.80155</v>
      </c>
      <c r="L36" s="761"/>
      <c r="M36" s="761"/>
      <c r="N36" s="763"/>
      <c r="O36" s="761">
        <v>1.80155</v>
      </c>
      <c r="P36" s="761"/>
      <c r="Q36" s="767" t="s">
        <v>748</v>
      </c>
    </row>
    <row r="37" spans="1:17" ht="102" x14ac:dyDescent="0.2">
      <c r="A37" s="370">
        <v>20</v>
      </c>
      <c r="B37" s="332">
        <v>2</v>
      </c>
      <c r="C37" s="333" t="s">
        <v>475</v>
      </c>
      <c r="D37" s="770" t="s">
        <v>527</v>
      </c>
      <c r="E37" s="333" t="s">
        <v>575</v>
      </c>
      <c r="F37" s="763">
        <f t="shared" si="0"/>
        <v>119.88900000000001</v>
      </c>
      <c r="G37" s="360">
        <v>95.911000000000001</v>
      </c>
      <c r="H37" s="361">
        <v>11.989000000000001</v>
      </c>
      <c r="I37" s="361">
        <v>0</v>
      </c>
      <c r="J37" s="360">
        <v>11.989000000000001</v>
      </c>
      <c r="K37" s="362">
        <f t="shared" si="1"/>
        <v>69.150999999999996</v>
      </c>
      <c r="L37" s="761"/>
      <c r="M37" s="367"/>
      <c r="N37" s="334"/>
      <c r="O37" s="335">
        <v>69.150999999999996</v>
      </c>
      <c r="P37" s="341"/>
      <c r="Q37" s="333" t="s">
        <v>737</v>
      </c>
    </row>
    <row r="38" spans="1:17" ht="63.75" x14ac:dyDescent="0.2">
      <c r="A38" s="371">
        <v>21</v>
      </c>
      <c r="B38" s="336">
        <v>2</v>
      </c>
      <c r="C38" s="372" t="s">
        <v>475</v>
      </c>
      <c r="D38" s="373" t="s">
        <v>569</v>
      </c>
      <c r="E38" s="374" t="s">
        <v>528</v>
      </c>
      <c r="F38" s="348">
        <f t="shared" si="0"/>
        <v>21.105</v>
      </c>
      <c r="G38" s="357">
        <v>21.105</v>
      </c>
      <c r="H38" s="375"/>
      <c r="I38" s="375"/>
      <c r="J38" s="357">
        <v>0</v>
      </c>
      <c r="K38" s="348">
        <f t="shared" si="1"/>
        <v>4.2210000000000001</v>
      </c>
      <c r="L38" s="343"/>
      <c r="M38" s="343"/>
      <c r="N38" s="342"/>
      <c r="O38" s="376">
        <v>4.2210000000000001</v>
      </c>
      <c r="P38" s="351"/>
      <c r="Q38" s="776" t="s">
        <v>738</v>
      </c>
    </row>
    <row r="39" spans="1:17" ht="178.5" x14ac:dyDescent="0.2">
      <c r="A39" s="354">
        <v>22</v>
      </c>
      <c r="B39" s="377">
        <v>4</v>
      </c>
      <c r="C39" s="378" t="s">
        <v>529</v>
      </c>
      <c r="D39" s="373" t="s">
        <v>530</v>
      </c>
      <c r="E39" s="378" t="s">
        <v>576</v>
      </c>
      <c r="F39" s="348">
        <f t="shared" si="0"/>
        <v>79.236369999999994</v>
      </c>
      <c r="G39" s="357">
        <v>50.637169999999998</v>
      </c>
      <c r="H39" s="375"/>
      <c r="I39" s="375"/>
      <c r="J39" s="357">
        <v>28.5992</v>
      </c>
      <c r="K39" s="348">
        <f t="shared" si="1"/>
        <v>79.236369999999994</v>
      </c>
      <c r="L39" s="343">
        <v>50.637169999999998</v>
      </c>
      <c r="M39" s="343"/>
      <c r="N39" s="342"/>
      <c r="O39" s="375">
        <v>28.5992</v>
      </c>
      <c r="P39" s="343"/>
      <c r="Q39" s="373" t="s">
        <v>749</v>
      </c>
    </row>
    <row r="40" spans="1:17" ht="89.25" x14ac:dyDescent="0.2">
      <c r="A40" s="775">
        <v>23</v>
      </c>
      <c r="B40" s="775">
        <v>2</v>
      </c>
      <c r="C40" s="767" t="s">
        <v>475</v>
      </c>
      <c r="D40" s="770" t="s">
        <v>616</v>
      </c>
      <c r="E40" s="767" t="s">
        <v>617</v>
      </c>
      <c r="F40" s="763">
        <v>40.08</v>
      </c>
      <c r="G40" s="769">
        <v>40.08</v>
      </c>
      <c r="H40" s="771"/>
      <c r="I40" s="771"/>
      <c r="J40" s="769">
        <v>0</v>
      </c>
      <c r="K40" s="348">
        <f t="shared" si="1"/>
        <v>8.016</v>
      </c>
      <c r="L40" s="761"/>
      <c r="M40" s="761"/>
      <c r="N40" s="763"/>
      <c r="O40" s="771">
        <v>8.016</v>
      </c>
      <c r="P40" s="761"/>
      <c r="Q40" s="770" t="s">
        <v>738</v>
      </c>
    </row>
    <row r="41" spans="1:17" ht="105" x14ac:dyDescent="0.2">
      <c r="A41" s="775">
        <v>24</v>
      </c>
      <c r="B41" s="379">
        <v>5</v>
      </c>
      <c r="C41" s="379" t="s">
        <v>468</v>
      </c>
      <c r="D41" s="380" t="s">
        <v>618</v>
      </c>
      <c r="E41" s="381" t="s">
        <v>619</v>
      </c>
      <c r="F41" s="382">
        <f t="shared" ref="F41:F44" si="2" xml:space="preserve"> SUM(G41:J41)</f>
        <v>82.294000000000011</v>
      </c>
      <c r="G41" s="383">
        <v>55.96</v>
      </c>
      <c r="H41" s="384">
        <v>9.875</v>
      </c>
      <c r="I41" s="384"/>
      <c r="J41" s="383">
        <v>16.459</v>
      </c>
      <c r="K41" s="348">
        <f t="shared" si="1"/>
        <v>8.0427</v>
      </c>
      <c r="L41" s="385"/>
      <c r="M41" s="385"/>
      <c r="N41" s="386"/>
      <c r="O41" s="387">
        <v>8.0427</v>
      </c>
      <c r="P41" s="385"/>
      <c r="Q41" s="777" t="s">
        <v>739</v>
      </c>
    </row>
    <row r="42" spans="1:17" ht="132" x14ac:dyDescent="0.2">
      <c r="A42" s="778">
        <v>25</v>
      </c>
      <c r="B42" s="396">
        <v>4</v>
      </c>
      <c r="C42" s="779" t="s">
        <v>534</v>
      </c>
      <c r="D42" s="397" t="s">
        <v>688</v>
      </c>
      <c r="E42" s="780" t="s">
        <v>689</v>
      </c>
      <c r="F42" s="382">
        <f t="shared" si="2"/>
        <v>4.8869999999999996</v>
      </c>
      <c r="G42" s="394">
        <v>4.8869999999999996</v>
      </c>
      <c r="H42" s="395"/>
      <c r="I42" s="395"/>
      <c r="J42" s="394"/>
      <c r="K42" s="348">
        <f t="shared" si="1"/>
        <v>4.8869999999999996</v>
      </c>
      <c r="L42" s="351">
        <v>4.8869999999999996</v>
      </c>
      <c r="M42" s="351"/>
      <c r="N42" s="340"/>
      <c r="O42" s="359"/>
      <c r="P42" s="351"/>
      <c r="Q42" s="373" t="s">
        <v>740</v>
      </c>
    </row>
    <row r="43" spans="1:17" ht="90" x14ac:dyDescent="0.2">
      <c r="A43" s="778">
        <v>26</v>
      </c>
      <c r="B43" s="396">
        <v>4</v>
      </c>
      <c r="C43" s="396" t="s">
        <v>534</v>
      </c>
      <c r="D43" s="397" t="s">
        <v>690</v>
      </c>
      <c r="E43" s="398" t="s">
        <v>691</v>
      </c>
      <c r="F43" s="382">
        <f t="shared" si="2"/>
        <v>73.187640000000002</v>
      </c>
      <c r="G43" s="394">
        <v>60.48565</v>
      </c>
      <c r="H43" s="395">
        <v>12.70199</v>
      </c>
      <c r="I43" s="395"/>
      <c r="J43" s="394"/>
      <c r="K43" s="348">
        <f t="shared" si="1"/>
        <v>73.187641999999997</v>
      </c>
      <c r="L43" s="351">
        <v>21.956292000000001</v>
      </c>
      <c r="M43" s="351"/>
      <c r="N43" s="340"/>
      <c r="O43" s="359">
        <v>51.231349999999999</v>
      </c>
      <c r="P43" s="351"/>
      <c r="Q43" s="781" t="s">
        <v>741</v>
      </c>
    </row>
    <row r="44" spans="1:17" ht="105" x14ac:dyDescent="0.2">
      <c r="A44" s="778">
        <v>27</v>
      </c>
      <c r="B44" s="396">
        <v>5</v>
      </c>
      <c r="C44" s="396" t="s">
        <v>468</v>
      </c>
      <c r="D44" s="397" t="s">
        <v>742</v>
      </c>
      <c r="E44" s="398" t="s">
        <v>743</v>
      </c>
      <c r="F44" s="382">
        <f t="shared" si="2"/>
        <v>1299.72487</v>
      </c>
      <c r="G44" s="394"/>
      <c r="H44" s="395">
        <v>500</v>
      </c>
      <c r="I44" s="395"/>
      <c r="J44" s="394">
        <v>799.72487000000001</v>
      </c>
      <c r="K44" s="348">
        <f t="shared" si="1"/>
        <v>300</v>
      </c>
      <c r="L44" s="351"/>
      <c r="M44" s="351">
        <v>150</v>
      </c>
      <c r="N44" s="340"/>
      <c r="O44" s="359">
        <v>150</v>
      </c>
      <c r="P44" s="351"/>
      <c r="Q44" s="781" t="s">
        <v>744</v>
      </c>
    </row>
    <row r="45" spans="1:17" ht="15" x14ac:dyDescent="0.2">
      <c r="A45" s="782"/>
      <c r="B45" s="388"/>
      <c r="C45" s="388"/>
      <c r="D45" s="389" t="s">
        <v>361</v>
      </c>
      <c r="E45" s="389"/>
      <c r="F45" s="390">
        <f>SUM(F18:F44)</f>
        <v>17180.397359999999</v>
      </c>
      <c r="G45" s="390">
        <f t="shared" ref="G45:P45" si="3">SUM(G18:G44)</f>
        <v>4066.3928500000002</v>
      </c>
      <c r="H45" s="390">
        <f t="shared" si="3"/>
        <v>6289.5676800000001</v>
      </c>
      <c r="I45" s="390">
        <f t="shared" si="3"/>
        <v>481.75191000000007</v>
      </c>
      <c r="J45" s="390">
        <f t="shared" si="3"/>
        <v>6342.6849199999988</v>
      </c>
      <c r="K45" s="390">
        <f t="shared" si="3"/>
        <v>3959.8996360000006</v>
      </c>
      <c r="L45" s="390">
        <f t="shared" si="3"/>
        <v>1022.171936</v>
      </c>
      <c r="M45" s="390">
        <f t="shared" si="3"/>
        <v>733.47698000000003</v>
      </c>
      <c r="N45" s="390">
        <f t="shared" si="3"/>
        <v>0</v>
      </c>
      <c r="O45" s="390">
        <f t="shared" si="3"/>
        <v>2122.2450599999997</v>
      </c>
      <c r="P45" s="390">
        <f t="shared" si="3"/>
        <v>82.005659999999992</v>
      </c>
      <c r="Q45" s="388"/>
    </row>
    <row r="46" spans="1:17" x14ac:dyDescent="0.2">
      <c r="A46" s="391"/>
      <c r="B46" s="391"/>
      <c r="C46" s="391"/>
      <c r="D46" s="391"/>
      <c r="E46" s="391"/>
      <c r="F46" s="391"/>
      <c r="G46" s="391"/>
      <c r="H46" s="391"/>
      <c r="I46" s="391"/>
      <c r="J46" s="391"/>
      <c r="K46" s="391"/>
      <c r="L46" s="391"/>
      <c r="M46" s="391"/>
      <c r="N46" s="391"/>
      <c r="O46" s="391"/>
      <c r="P46" s="391"/>
      <c r="Q46" s="391"/>
    </row>
    <row r="47" spans="1:17" ht="76.5" x14ac:dyDescent="0.2">
      <c r="A47" s="391"/>
      <c r="B47" s="391"/>
      <c r="C47" s="391"/>
      <c r="D47" s="317" t="s">
        <v>531</v>
      </c>
      <c r="E47" s="318" t="s">
        <v>359</v>
      </c>
      <c r="F47" s="319" t="s">
        <v>450</v>
      </c>
      <c r="G47" s="319" t="s">
        <v>454</v>
      </c>
      <c r="H47" s="319" t="s">
        <v>452</v>
      </c>
      <c r="I47" s="319" t="s">
        <v>477</v>
      </c>
      <c r="J47" s="320" t="s">
        <v>455</v>
      </c>
      <c r="K47" s="321" t="s">
        <v>552</v>
      </c>
      <c r="L47" s="322" t="s">
        <v>340</v>
      </c>
      <c r="M47" s="322" t="s">
        <v>551</v>
      </c>
      <c r="N47" s="322" t="s">
        <v>577</v>
      </c>
      <c r="O47" s="322" t="s">
        <v>367</v>
      </c>
      <c r="P47" s="323"/>
      <c r="Q47" s="783"/>
    </row>
    <row r="48" spans="1:17" ht="15" x14ac:dyDescent="0.2">
      <c r="A48" s="391"/>
      <c r="B48" s="391"/>
      <c r="C48" s="391"/>
      <c r="D48" s="324" t="s">
        <v>532</v>
      </c>
      <c r="E48" s="326">
        <f t="shared" ref="E48:E54" si="4" xml:space="preserve"> SUM(F48:J48)</f>
        <v>2146.6485699999994</v>
      </c>
      <c r="F48" s="784">
        <f>L18+L19+L20+L32+L33+L34+L35+L36+L41+L44</f>
        <v>23.497119999999999</v>
      </c>
      <c r="G48" s="784">
        <f t="shared" ref="G48:J48" si="5">M18+M19+M20+M32+M33+M34+M35+M36+M41+M44</f>
        <v>673.85199999999998</v>
      </c>
      <c r="H48" s="784">
        <f t="shared" si="5"/>
        <v>0</v>
      </c>
      <c r="I48" s="784">
        <f t="shared" si="5"/>
        <v>1367.2937899999997</v>
      </c>
      <c r="J48" s="784">
        <f t="shared" si="5"/>
        <v>82.005659999999992</v>
      </c>
      <c r="K48" s="784">
        <f>M48+N48+O48</f>
        <v>1187.3150000000001</v>
      </c>
      <c r="L48" s="322" t="s">
        <v>544</v>
      </c>
      <c r="M48" s="322"/>
      <c r="N48" s="322">
        <v>1081.6020000000001</v>
      </c>
      <c r="O48" s="322">
        <v>105.71299999999999</v>
      </c>
      <c r="P48" s="325"/>
      <c r="Q48" s="325"/>
    </row>
    <row r="49" spans="1:17" ht="15" x14ac:dyDescent="0.2">
      <c r="A49" s="391"/>
      <c r="B49" s="391"/>
      <c r="C49" s="391"/>
      <c r="D49" s="324" t="s">
        <v>512</v>
      </c>
      <c r="E49" s="326">
        <f t="shared" si="4"/>
        <v>673.15217000000007</v>
      </c>
      <c r="F49" s="784">
        <f>L21+L22+L23+L24</f>
        <v>337.87494000000004</v>
      </c>
      <c r="G49" s="784">
        <f>M21+M22+M23+M24</f>
        <v>59.624980000000001</v>
      </c>
      <c r="H49" s="784">
        <f>N21+N22+N23+N24</f>
        <v>0</v>
      </c>
      <c r="I49" s="784">
        <f>O21+O22+O23+O24</f>
        <v>275.65224999999998</v>
      </c>
      <c r="J49" s="784">
        <f>P21+P22+P23+P24</f>
        <v>0</v>
      </c>
      <c r="K49" s="784">
        <f t="shared" ref="K49:K54" si="6">M49+N49+O49</f>
        <v>244.65</v>
      </c>
      <c r="L49" s="784" t="s">
        <v>545</v>
      </c>
      <c r="M49" s="784"/>
      <c r="N49" s="785">
        <v>244.65</v>
      </c>
      <c r="O49" s="784"/>
      <c r="P49" s="325"/>
      <c r="Q49" s="325"/>
    </row>
    <row r="50" spans="1:17" ht="15" x14ac:dyDescent="0.2">
      <c r="A50" s="391"/>
      <c r="B50" s="391"/>
      <c r="C50" s="391"/>
      <c r="D50" s="324" t="s">
        <v>475</v>
      </c>
      <c r="E50" s="326">
        <f t="shared" si="4"/>
        <v>739.38681399999996</v>
      </c>
      <c r="F50" s="784">
        <f>L25+L26+L37+L38+L40</f>
        <v>515.55281400000001</v>
      </c>
      <c r="G50" s="784">
        <f>M25+M26+M37+M38+M40</f>
        <v>0</v>
      </c>
      <c r="H50" s="784">
        <f>N25+N26+N37+N38+N40</f>
        <v>0</v>
      </c>
      <c r="I50" s="784">
        <f>O25+O26+O37+O38+O40</f>
        <v>223.83399999999997</v>
      </c>
      <c r="J50" s="784">
        <f>P25+P26+P37+P38+P40</f>
        <v>0</v>
      </c>
      <c r="K50" s="784">
        <f t="shared" si="6"/>
        <v>209.22199999999998</v>
      </c>
      <c r="L50" s="784" t="s">
        <v>547</v>
      </c>
      <c r="M50" s="784">
        <v>146.666</v>
      </c>
      <c r="N50" s="784">
        <v>62.555999999999997</v>
      </c>
      <c r="O50" s="784"/>
      <c r="P50" s="325"/>
      <c r="Q50" s="325"/>
    </row>
    <row r="51" spans="1:17" ht="15" x14ac:dyDescent="0.2">
      <c r="A51" s="391"/>
      <c r="B51" s="391"/>
      <c r="C51" s="391"/>
      <c r="D51" s="324" t="s">
        <v>533</v>
      </c>
      <c r="E51" s="326">
        <f t="shared" si="4"/>
        <v>67.992469999999997</v>
      </c>
      <c r="F51" s="784">
        <v>45.1</v>
      </c>
      <c r="G51" s="784">
        <v>0</v>
      </c>
      <c r="H51" s="784">
        <v>0</v>
      </c>
      <c r="I51" s="784">
        <v>22.892469999999999</v>
      </c>
      <c r="J51" s="784">
        <v>0</v>
      </c>
      <c r="K51" s="784">
        <f t="shared" si="6"/>
        <v>22.891999999999999</v>
      </c>
      <c r="L51" s="784" t="s">
        <v>548</v>
      </c>
      <c r="M51" s="784">
        <v>22.891999999999999</v>
      </c>
      <c r="N51" s="784"/>
      <c r="O51" s="784"/>
      <c r="P51" s="325"/>
      <c r="Q51" s="325"/>
    </row>
    <row r="52" spans="1:17" ht="15" x14ac:dyDescent="0.2">
      <c r="A52" s="391"/>
      <c r="B52" s="391"/>
      <c r="C52" s="391"/>
      <c r="D52" s="324" t="s">
        <v>526</v>
      </c>
      <c r="E52" s="326">
        <f t="shared" si="4"/>
        <v>111.19200000000001</v>
      </c>
      <c r="F52" s="784">
        <v>0</v>
      </c>
      <c r="G52" s="784">
        <v>0</v>
      </c>
      <c r="H52" s="784">
        <v>0</v>
      </c>
      <c r="I52" s="784">
        <v>111.19200000000001</v>
      </c>
      <c r="J52" s="784">
        <v>0</v>
      </c>
      <c r="K52" s="784">
        <f t="shared" si="6"/>
        <v>111.19199999999999</v>
      </c>
      <c r="L52" s="784" t="s">
        <v>546</v>
      </c>
      <c r="M52" s="784"/>
      <c r="N52" s="784">
        <v>111.19199999999999</v>
      </c>
      <c r="O52" s="784"/>
      <c r="P52" s="325"/>
      <c r="Q52" s="325"/>
    </row>
    <row r="53" spans="1:17" ht="15" x14ac:dyDescent="0.2">
      <c r="A53" s="391"/>
      <c r="B53" s="391"/>
      <c r="C53" s="391"/>
      <c r="D53" s="327" t="s">
        <v>521</v>
      </c>
      <c r="E53" s="328">
        <f t="shared" si="4"/>
        <v>64.2166</v>
      </c>
      <c r="F53" s="786">
        <v>22.666599999999999</v>
      </c>
      <c r="G53" s="786">
        <v>0</v>
      </c>
      <c r="H53" s="786">
        <v>0</v>
      </c>
      <c r="I53" s="786">
        <v>41.55</v>
      </c>
      <c r="J53" s="786">
        <v>0</v>
      </c>
      <c r="K53" s="784">
        <f t="shared" si="6"/>
        <v>41.55</v>
      </c>
      <c r="L53" s="784" t="s">
        <v>545</v>
      </c>
      <c r="M53" s="784">
        <v>41.55</v>
      </c>
      <c r="N53" s="784"/>
      <c r="O53" s="784"/>
      <c r="P53" s="325"/>
      <c r="Q53" s="325"/>
    </row>
    <row r="54" spans="1:17" ht="15" x14ac:dyDescent="0.2">
      <c r="A54" s="391"/>
      <c r="B54" s="391"/>
      <c r="C54" s="391"/>
      <c r="D54" s="324" t="s">
        <v>534</v>
      </c>
      <c r="E54" s="328">
        <f t="shared" si="4"/>
        <v>157.31101200000001</v>
      </c>
      <c r="F54" s="784">
        <f>L39+L42+L43</f>
        <v>77.480462000000003</v>
      </c>
      <c r="G54" s="784">
        <f>M39+M42+M43</f>
        <v>0</v>
      </c>
      <c r="H54" s="784">
        <f>N39+N42+N43</f>
        <v>0</v>
      </c>
      <c r="I54" s="784">
        <f>O39+O42+O43</f>
        <v>79.830550000000002</v>
      </c>
      <c r="J54" s="784">
        <f>P39+P42+P43</f>
        <v>0</v>
      </c>
      <c r="K54" s="784">
        <f t="shared" si="6"/>
        <v>39.323999999999998</v>
      </c>
      <c r="L54" s="784" t="s">
        <v>549</v>
      </c>
      <c r="M54" s="784">
        <v>39.323999999999998</v>
      </c>
      <c r="N54" s="784"/>
      <c r="O54" s="784"/>
      <c r="P54" s="325"/>
      <c r="Q54" s="325"/>
    </row>
    <row r="55" spans="1:17" ht="15" x14ac:dyDescent="0.25">
      <c r="A55" s="391"/>
      <c r="B55" s="391"/>
      <c r="C55" s="391"/>
      <c r="D55" s="329" t="s">
        <v>40</v>
      </c>
      <c r="E55" s="330">
        <f t="shared" ref="E55:O55" si="7">SUM(E48:E54)</f>
        <v>3959.8996360000001</v>
      </c>
      <c r="F55" s="787">
        <f t="shared" si="7"/>
        <v>1022.1719360000001</v>
      </c>
      <c r="G55" s="787">
        <f t="shared" si="7"/>
        <v>733.47698000000003</v>
      </c>
      <c r="H55" s="330">
        <f t="shared" si="7"/>
        <v>0</v>
      </c>
      <c r="I55" s="787">
        <f t="shared" si="7"/>
        <v>2122.2450599999997</v>
      </c>
      <c r="J55" s="787">
        <f t="shared" si="7"/>
        <v>82.005659999999992</v>
      </c>
      <c r="K55" s="330">
        <f t="shared" si="7"/>
        <v>1856.1450000000002</v>
      </c>
      <c r="L55" s="330">
        <f t="shared" si="7"/>
        <v>0</v>
      </c>
      <c r="M55" s="330">
        <f t="shared" si="7"/>
        <v>250.43200000000002</v>
      </c>
      <c r="N55" s="330">
        <f t="shared" si="7"/>
        <v>1500.0000000000002</v>
      </c>
      <c r="O55" s="330">
        <f t="shared" si="7"/>
        <v>105.71299999999999</v>
      </c>
      <c r="P55" s="330"/>
      <c r="Q55" s="330"/>
    </row>
    <row r="56" spans="1:17" x14ac:dyDescent="0.2">
      <c r="A56" s="391"/>
      <c r="B56" s="391"/>
      <c r="C56" s="391"/>
      <c r="D56" s="391"/>
      <c r="E56" s="391"/>
      <c r="F56" s="391"/>
      <c r="G56" s="391"/>
      <c r="H56" s="391"/>
      <c r="I56" s="391"/>
      <c r="J56" s="391"/>
      <c r="K56" s="391"/>
      <c r="L56" s="391"/>
      <c r="M56" s="391"/>
      <c r="N56" s="391"/>
      <c r="O56" s="391"/>
      <c r="P56" s="391"/>
      <c r="Q56" s="788"/>
    </row>
  </sheetData>
  <mergeCells count="15">
    <mergeCell ref="Q15:Q17"/>
    <mergeCell ref="G16:G17"/>
    <mergeCell ref="H16:H17"/>
    <mergeCell ref="I16:I17"/>
    <mergeCell ref="J16:J17"/>
    <mergeCell ref="K6:O6"/>
    <mergeCell ref="K7:N7"/>
    <mergeCell ref="A9:M13"/>
    <mergeCell ref="A15:A17"/>
    <mergeCell ref="B15:B17"/>
    <mergeCell ref="C15:C17"/>
    <mergeCell ref="D15:D17"/>
    <mergeCell ref="E15:E17"/>
    <mergeCell ref="F15:F17"/>
    <mergeCell ref="K15:P16"/>
  </mergeCells>
  <pageMargins left="0.43307086614173229" right="0.19685039370078741" top="0.55118110236220474" bottom="0.15748031496062992" header="0.11811023622047245" footer="0"/>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50552AA0542B42AA5E3F96BF0CA344" ma:contentTypeVersion="3" ma:contentTypeDescription="Create a new document." ma:contentTypeScope="" ma:versionID="0be3c2eaf8da5a164a10a5fdd418a953">
  <xsd:schema xmlns:xsd="http://www.w3.org/2001/XMLSchema" xmlns:xs="http://www.w3.org/2001/XMLSchema" xmlns:p="http://schemas.microsoft.com/office/2006/metadata/properties" xmlns:ns3="6e0158ca-391d-4bf3-9af6-9fa9a3181e4f" targetNamespace="http://schemas.microsoft.com/office/2006/metadata/properties" ma:root="true" ma:fieldsID="9197c58cff819f26b669e7e8f6fe70cb" ns3:_="">
    <xsd:import namespace="6e0158ca-391d-4bf3-9af6-9fa9a3181e4f"/>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158ca-391d-4bf3-9af6-9fa9a3181e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7FCEC1-993E-447E-84D0-F636C25526D1}">
  <ds:schemaRefs>
    <ds:schemaRef ds:uri="http://schemas.microsoft.com/sharepoint/v3/contenttype/forms"/>
  </ds:schemaRefs>
</ds:datastoreItem>
</file>

<file path=customXml/itemProps2.xml><?xml version="1.0" encoding="utf-8"?>
<ds:datastoreItem xmlns:ds="http://schemas.openxmlformats.org/officeDocument/2006/customXml" ds:itemID="{9E0C959E-AA49-4317-9B42-A405567C3C14}">
  <ds:schemaRefs>
    <ds:schemaRef ds:uri="http://schemas.microsoft.com/office/2006/metadata/properties"/>
    <ds:schemaRef ds:uri="http://schemas.microsoft.com/office/infopath/2007/PartnerControls"/>
    <ds:schemaRef ds:uri="http://purl.org/dc/elements/1.1/"/>
    <ds:schemaRef ds:uri="http://purl.org/dc/dcmitype/"/>
    <ds:schemaRef ds:uri="6e0158ca-391d-4bf3-9af6-9fa9a3181e4f"/>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C15C271-E23B-4C9E-95CD-14F396F03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0158ca-391d-4bf3-9af6-9fa9a3181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7</vt:i4>
      </vt:variant>
    </vt:vector>
  </HeadingPairs>
  <TitlesOfParts>
    <vt:vector size="15" baseType="lpstr">
      <vt:lpstr>1 priedas</vt:lpstr>
      <vt:lpstr>2 priedas</vt:lpstr>
      <vt:lpstr>5-išl.pagal programas </vt:lpstr>
      <vt:lpstr>3 priedas</vt:lpstr>
      <vt:lpstr>4 priedas</vt:lpstr>
      <vt:lpstr>5 priedas</vt:lpstr>
      <vt:lpstr>6 priedas </vt:lpstr>
      <vt:lpstr>7 priedas</vt:lpstr>
      <vt:lpstr>'1 priedas'!Print_Titles</vt:lpstr>
      <vt:lpstr>'2 priedas'!Print_Titles</vt:lpstr>
      <vt:lpstr>'3 priedas'!Print_Titles</vt:lpstr>
      <vt:lpstr>'4 priedas'!Print_Titles</vt:lpstr>
      <vt:lpstr>'5 priedas'!Print_Titles</vt:lpstr>
      <vt:lpstr>'6 priedas '!Print_Titles</vt:lpstr>
      <vt:lpstr>'7 priedas'!Print_Titles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Aldona</dc:creator>
  <cp:lastModifiedBy>Redutė Dūdienė</cp:lastModifiedBy>
  <cp:lastPrinted>2024-06-27T11:11:20Z</cp:lastPrinted>
  <dcterms:created xsi:type="dcterms:W3CDTF">2013-02-05T08:01:03Z</dcterms:created>
  <dcterms:modified xsi:type="dcterms:W3CDTF">2024-06-27T11:12:02Z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0x010100C450552AA0542B42AA5E3F96BF0CA344</vt:lpwstr>
  </property>
</Properties>
</file>